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IR\FY24\Q2FY24\"/>
    </mc:Choice>
  </mc:AlternateContent>
  <xr:revisionPtr revIDLastSave="0" documentId="13_ncr:1_{69909D88-184F-4FF3-AC36-681BEBF893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Factsheet!$A$1:$AG$292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T104" i="11" l="1"/>
  <c r="T94" i="11"/>
  <c r="T93" i="11"/>
  <c r="T101" i="11" l="1"/>
  <c r="Z112" i="11" l="1"/>
  <c r="Z113" i="11"/>
  <c r="Z173" i="11" l="1"/>
  <c r="Z41" i="11"/>
  <c r="Z30" i="11"/>
  <c r="Z27" i="11"/>
  <c r="Z67" i="11" l="1"/>
  <c r="Z172" i="11"/>
  <c r="Z45" i="11"/>
  <c r="Z239" i="11"/>
  <c r="Z19" i="11"/>
  <c r="AB93" i="11" l="1"/>
  <c r="AB79" i="11"/>
  <c r="AB230" i="11"/>
  <c r="AA230" i="11"/>
  <c r="AB229" i="11"/>
  <c r="AA229" i="11"/>
  <c r="AB228" i="11"/>
  <c r="AA228" i="11"/>
  <c r="AB211" i="11"/>
  <c r="AA211" i="11"/>
  <c r="AB210" i="11"/>
  <c r="AA210" i="11"/>
  <c r="AB209" i="11"/>
  <c r="AA209" i="11"/>
  <c r="AB208" i="11"/>
  <c r="AA208" i="11"/>
  <c r="AB207" i="11"/>
  <c r="AA207" i="11"/>
  <c r="AB206" i="11"/>
  <c r="AA206" i="11"/>
  <c r="AB205" i="11"/>
  <c r="AA205" i="11"/>
  <c r="AB204" i="11"/>
  <c r="AA204" i="11"/>
  <c r="AB203" i="11"/>
  <c r="AA203" i="11"/>
  <c r="AB202" i="11"/>
  <c r="AA202" i="11"/>
  <c r="AB201" i="11"/>
  <c r="AA201" i="11"/>
  <c r="AB177" i="11"/>
  <c r="AA177" i="11"/>
  <c r="AB176" i="11"/>
  <c r="AA176" i="11"/>
  <c r="AB171" i="11"/>
  <c r="AA171" i="11"/>
  <c r="AB170" i="11"/>
  <c r="AA170" i="11"/>
  <c r="AB169" i="11"/>
  <c r="AA169" i="11"/>
  <c r="AB168" i="11"/>
  <c r="AA168" i="11"/>
  <c r="AB116" i="11"/>
  <c r="AA116" i="11"/>
  <c r="AB115" i="11"/>
  <c r="AA115" i="11"/>
  <c r="AB114" i="11"/>
  <c r="AA114" i="11"/>
  <c r="AB113" i="11"/>
  <c r="AA113" i="11"/>
  <c r="AB105" i="11"/>
  <c r="AA105" i="11"/>
  <c r="AB104" i="11"/>
  <c r="AA104" i="11"/>
  <c r="AB103" i="11"/>
  <c r="AA103" i="11"/>
  <c r="AB102" i="11"/>
  <c r="AA102" i="11"/>
  <c r="AB101" i="11"/>
  <c r="AA101" i="11"/>
  <c r="AB100" i="11"/>
  <c r="AA100" i="11"/>
  <c r="AB99" i="11"/>
  <c r="AA99" i="11"/>
  <c r="AB98" i="11"/>
  <c r="AA98" i="11"/>
  <c r="AB94" i="11"/>
  <c r="AB92" i="11"/>
  <c r="AA92" i="11"/>
  <c r="AB91" i="11"/>
  <c r="AB90" i="11"/>
  <c r="AA90" i="11"/>
  <c r="AB89" i="11"/>
  <c r="AA89" i="11"/>
  <c r="AB88" i="11"/>
  <c r="AA88" i="11"/>
  <c r="AB78" i="11"/>
  <c r="AA78" i="11"/>
  <c r="AB77" i="11"/>
  <c r="AA77" i="11"/>
  <c r="AB76" i="11"/>
  <c r="AA76" i="11"/>
  <c r="AB75" i="11"/>
  <c r="AA75" i="11"/>
  <c r="AB74" i="11"/>
  <c r="AA74" i="11"/>
  <c r="AB68" i="11"/>
  <c r="AA68" i="11"/>
  <c r="AB64" i="11"/>
  <c r="AA64" i="11"/>
  <c r="AB62" i="11"/>
  <c r="AA62" i="11"/>
  <c r="AB60" i="11"/>
  <c r="AA60" i="11"/>
  <c r="AB59" i="11"/>
  <c r="AA59" i="11"/>
  <c r="AB58" i="11"/>
  <c r="AA58" i="11"/>
  <c r="AB57" i="11"/>
  <c r="AA57" i="11"/>
  <c r="AB53" i="11"/>
  <c r="AA53" i="11"/>
  <c r="AB51" i="11"/>
  <c r="AA51" i="11"/>
  <c r="AB50" i="11"/>
  <c r="AA50" i="11"/>
  <c r="AB49" i="11"/>
  <c r="AA49" i="11"/>
  <c r="AB44" i="11"/>
  <c r="AA44" i="11"/>
  <c r="AB35" i="11"/>
  <c r="AA35" i="11"/>
  <c r="AB33" i="11"/>
  <c r="AA33" i="11"/>
  <c r="AB32" i="11"/>
  <c r="AA32" i="11"/>
  <c r="AB29" i="11"/>
  <c r="AA29" i="11"/>
  <c r="AB26" i="11"/>
  <c r="AA26" i="11"/>
  <c r="AB14" i="11"/>
  <c r="AA14" i="11"/>
  <c r="AB13" i="11"/>
  <c r="AA13" i="11"/>
  <c r="AB5" i="11"/>
  <c r="AA5" i="11"/>
  <c r="AB4" i="11"/>
  <c r="AA4" i="11"/>
  <c r="AB3" i="11"/>
  <c r="AA3" i="11"/>
  <c r="Z256" i="11"/>
  <c r="Z243" i="11"/>
  <c r="Z242" i="11"/>
  <c r="Z241" i="11"/>
  <c r="Z240" i="11"/>
  <c r="Z236" i="11"/>
  <c r="Z231" i="11"/>
  <c r="Z227" i="11"/>
  <c r="Z212" i="11"/>
  <c r="Z218" i="11" s="1"/>
  <c r="Z200" i="11"/>
  <c r="Z192" i="11"/>
  <c r="Z187" i="11"/>
  <c r="Z181" i="11"/>
  <c r="Z178" i="11"/>
  <c r="Z179" i="11" s="1"/>
  <c r="Z166" i="11"/>
  <c r="Z145" i="11"/>
  <c r="Z69" i="11" s="1"/>
  <c r="Z142" i="11"/>
  <c r="Z134" i="11"/>
  <c r="Z133" i="11"/>
  <c r="Z129" i="11"/>
  <c r="Z139" i="11" s="1"/>
  <c r="Z128" i="11"/>
  <c r="Z117" i="11"/>
  <c r="Z111" i="11"/>
  <c r="Z110" i="11"/>
  <c r="Z106" i="11"/>
  <c r="Z143" i="11" s="1"/>
  <c r="Z95" i="11"/>
  <c r="Z86" i="11"/>
  <c r="Z80" i="11"/>
  <c r="Z56" i="11"/>
  <c r="Z54" i="11"/>
  <c r="Z52" i="11"/>
  <c r="Z55" i="11" s="1"/>
  <c r="Z47" i="11"/>
  <c r="Z39" i="11"/>
  <c r="Z38" i="11"/>
  <c r="Z36" i="11"/>
  <c r="Z34" i="11"/>
  <c r="Z23" i="11"/>
  <c r="Z6" i="11"/>
  <c r="Y129" i="11"/>
  <c r="Y112" i="11"/>
  <c r="Z42" i="11" l="1"/>
  <c r="Z136" i="11"/>
  <c r="AA112" i="11"/>
  <c r="AB112" i="11"/>
  <c r="Z216" i="11"/>
  <c r="Z219" i="11"/>
  <c r="Z84" i="11"/>
  <c r="Z61" i="11"/>
  <c r="Z63" i="11" s="1"/>
  <c r="Z107" i="11"/>
  <c r="Z224" i="11"/>
  <c r="Z83" i="11"/>
  <c r="Z118" i="11"/>
  <c r="Z220" i="11"/>
  <c r="Z221" i="11"/>
  <c r="Z214" i="11"/>
  <c r="Z222" i="11"/>
  <c r="Z215" i="11"/>
  <c r="Z223" i="11"/>
  <c r="Z217" i="11"/>
  <c r="Y67" i="11"/>
  <c r="AB67" i="11" s="1"/>
  <c r="Z138" i="11" l="1"/>
  <c r="Z66" i="11"/>
  <c r="Z225" i="11"/>
  <c r="Z125" i="11"/>
  <c r="Z124" i="11"/>
  <c r="Z123" i="11"/>
  <c r="Z122" i="11"/>
  <c r="Z121" i="11"/>
  <c r="Z126" i="11"/>
  <c r="Y27" i="11"/>
  <c r="Z70" i="11" l="1"/>
  <c r="Y231" i="11"/>
  <c r="AB231" i="11" s="1"/>
  <c r="Y212" i="11"/>
  <c r="AB212" i="11" s="1"/>
  <c r="Y198" i="11"/>
  <c r="Y41" i="11"/>
  <c r="Y30" i="11"/>
  <c r="Y19" i="11"/>
  <c r="W30" i="11" l="1"/>
  <c r="V30" i="11"/>
  <c r="U30" i="11"/>
  <c r="T30" i="11"/>
  <c r="S30" i="11"/>
  <c r="X30" i="11"/>
  <c r="H29" i="11"/>
  <c r="G29" i="11"/>
  <c r="AA93" i="11" l="1"/>
  <c r="AA79" i="11"/>
  <c r="Y256" i="11"/>
  <c r="Y243" i="11"/>
  <c r="Y242" i="11"/>
  <c r="Y241" i="11"/>
  <c r="Y240" i="11"/>
  <c r="Y239" i="11"/>
  <c r="Y236" i="11"/>
  <c r="Y227" i="11"/>
  <c r="Y218" i="11"/>
  <c r="Y200" i="11"/>
  <c r="Y192" i="11"/>
  <c r="Y187" i="11"/>
  <c r="Y181" i="11"/>
  <c r="AB181" i="11" s="1"/>
  <c r="Y178" i="11"/>
  <c r="Y172" i="11"/>
  <c r="Y166" i="11"/>
  <c r="Y145" i="11"/>
  <c r="AB145" i="11" s="1"/>
  <c r="Y142" i="11"/>
  <c r="Y134" i="11"/>
  <c r="Y133" i="11"/>
  <c r="Y139" i="11"/>
  <c r="Y128" i="11"/>
  <c r="Y117" i="11"/>
  <c r="AB117" i="11" s="1"/>
  <c r="Y111" i="11"/>
  <c r="Y110" i="11"/>
  <c r="Y106" i="11"/>
  <c r="AB106" i="11" s="1"/>
  <c r="Y95" i="11"/>
  <c r="AB95" i="11" s="1"/>
  <c r="Y86" i="11"/>
  <c r="Y80" i="11"/>
  <c r="AB80" i="11" s="1"/>
  <c r="Y56" i="11"/>
  <c r="AB56" i="11" s="1"/>
  <c r="Y54" i="11"/>
  <c r="AB54" i="11" s="1"/>
  <c r="Y52" i="11"/>
  <c r="Y47" i="11"/>
  <c r="Y45" i="11"/>
  <c r="Y39" i="11"/>
  <c r="AB39" i="11" s="1"/>
  <c r="Y38" i="11"/>
  <c r="AB38" i="11" s="1"/>
  <c r="Y36" i="11"/>
  <c r="AB36" i="11" s="1"/>
  <c r="Y34" i="11"/>
  <c r="AB34" i="11" s="1"/>
  <c r="Y23" i="11"/>
  <c r="Y6" i="11"/>
  <c r="F91" i="11"/>
  <c r="F94" i="11"/>
  <c r="O94" i="11"/>
  <c r="O91" i="11"/>
  <c r="N91" i="11"/>
  <c r="N94" i="11"/>
  <c r="M94" i="11"/>
  <c r="M91" i="11"/>
  <c r="E91" i="11"/>
  <c r="E94" i="11"/>
  <c r="S94" i="11"/>
  <c r="S91" i="11"/>
  <c r="R91" i="11"/>
  <c r="R94" i="11"/>
  <c r="Q94" i="11"/>
  <c r="Q91" i="11"/>
  <c r="U91" i="11"/>
  <c r="V91" i="11"/>
  <c r="AA91" i="11" s="1"/>
  <c r="AA94" i="11"/>
  <c r="W91" i="11"/>
  <c r="Y179" i="11" l="1"/>
  <c r="AB178" i="11"/>
  <c r="Y55" i="11"/>
  <c r="AB55" i="11" s="1"/>
  <c r="AB52" i="11"/>
  <c r="Y136" i="11"/>
  <c r="AB111" i="11"/>
  <c r="Y173" i="11"/>
  <c r="AB172" i="11"/>
  <c r="Y42" i="11"/>
  <c r="Y69" i="11"/>
  <c r="AB69" i="11" s="1"/>
  <c r="Z146" i="11"/>
  <c r="Y217" i="11"/>
  <c r="Y220" i="11"/>
  <c r="Y219" i="11"/>
  <c r="Y223" i="11"/>
  <c r="Y224" i="11"/>
  <c r="Y107" i="11"/>
  <c r="Y216" i="11"/>
  <c r="Y215" i="11"/>
  <c r="Y83" i="11"/>
  <c r="Y118" i="11"/>
  <c r="AB118" i="11" s="1"/>
  <c r="Y143" i="11"/>
  <c r="Y221" i="11"/>
  <c r="Y214" i="11"/>
  <c r="Y222" i="11"/>
  <c r="B94" i="11"/>
  <c r="C94" i="11"/>
  <c r="Y84" i="11" l="1"/>
  <c r="Y61" i="11"/>
  <c r="AB61" i="11" s="1"/>
  <c r="Z137" i="11"/>
  <c r="Z140" i="11" s="1"/>
  <c r="AB136" i="11"/>
  <c r="Z164" i="11"/>
  <c r="Z144" i="11"/>
  <c r="Z148" i="11" s="1"/>
  <c r="AB143" i="11"/>
  <c r="Y138" i="11"/>
  <c r="Y125" i="11"/>
  <c r="Y124" i="11"/>
  <c r="Y123" i="11"/>
  <c r="Y122" i="11"/>
  <c r="Y121" i="11"/>
  <c r="Y225" i="11"/>
  <c r="Y126" i="11"/>
  <c r="H93" i="11"/>
  <c r="H11" i="11"/>
  <c r="I11" i="11" s="1"/>
  <c r="Y63" i="11" l="1"/>
  <c r="AB63" i="11" s="1"/>
  <c r="Z151" i="11"/>
  <c r="Z159" i="11"/>
  <c r="Z163" i="11"/>
  <c r="Z155" i="11"/>
  <c r="Z147" i="11"/>
  <c r="Z161" i="11"/>
  <c r="Z149" i="11"/>
  <c r="Z154" i="11"/>
  <c r="Z150" i="11"/>
  <c r="Z156" i="11"/>
  <c r="Z158" i="11"/>
  <c r="H10" i="11"/>
  <c r="G10" i="11"/>
  <c r="Z153" i="11" l="1"/>
  <c r="Y66" i="11"/>
  <c r="AB66" i="11" s="1"/>
  <c r="Z157" i="11"/>
  <c r="Z160" i="11" s="1"/>
  <c r="Z162" i="11" s="1"/>
  <c r="Z152" i="11"/>
  <c r="I10" i="11"/>
  <c r="X231" i="11"/>
  <c r="X172" i="11"/>
  <c r="X27" i="11"/>
  <c r="X6" i="11"/>
  <c r="Y70" i="11" l="1"/>
  <c r="AB70" i="11" s="1"/>
  <c r="H254" i="11"/>
  <c r="X67" i="11" l="1"/>
  <c r="H134" i="11" l="1"/>
  <c r="X212" i="11"/>
  <c r="X198" i="11" l="1"/>
  <c r="H19" i="11" l="1"/>
  <c r="X19" i="11"/>
  <c r="H238" i="11" l="1"/>
  <c r="H237" i="11"/>
  <c r="H234" i="11"/>
  <c r="H233" i="11"/>
  <c r="H230" i="11"/>
  <c r="H229" i="11"/>
  <c r="H228" i="11"/>
  <c r="H211" i="11"/>
  <c r="H210" i="11"/>
  <c r="H209" i="11"/>
  <c r="H208" i="11"/>
  <c r="H207" i="11"/>
  <c r="H206" i="11"/>
  <c r="H205" i="11"/>
  <c r="H204" i="11"/>
  <c r="H203" i="11"/>
  <c r="H202" i="11"/>
  <c r="H201" i="11"/>
  <c r="H198" i="11"/>
  <c r="H197" i="11"/>
  <c r="H196" i="11"/>
  <c r="H195" i="11"/>
  <c r="H194" i="11"/>
  <c r="H193" i="11"/>
  <c r="H190" i="11"/>
  <c r="H189" i="11"/>
  <c r="H188" i="11"/>
  <c r="H185" i="11"/>
  <c r="H184" i="11"/>
  <c r="H183" i="11"/>
  <c r="H182" i="11"/>
  <c r="H177" i="11"/>
  <c r="H176" i="11"/>
  <c r="H171" i="11"/>
  <c r="H170" i="11"/>
  <c r="H169" i="11"/>
  <c r="H168" i="11"/>
  <c r="H131" i="11"/>
  <c r="H130" i="11"/>
  <c r="H116" i="11"/>
  <c r="I116" i="11" s="1"/>
  <c r="H115" i="11"/>
  <c r="I115" i="11" s="1"/>
  <c r="H114" i="11"/>
  <c r="I114" i="11" s="1"/>
  <c r="H113" i="11"/>
  <c r="I113" i="11" s="1"/>
  <c r="H112" i="11"/>
  <c r="I112" i="11" s="1"/>
  <c r="H103" i="11"/>
  <c r="H67" i="11"/>
  <c r="H65" i="11"/>
  <c r="I68" i="11"/>
  <c r="H14" i="11"/>
  <c r="H181" i="11" s="1"/>
  <c r="H13" i="11"/>
  <c r="H46" i="11"/>
  <c r="H44" i="11"/>
  <c r="H35" i="11"/>
  <c r="H33" i="11"/>
  <c r="H32" i="11"/>
  <c r="H26" i="11"/>
  <c r="H24" i="11"/>
  <c r="H8" i="11"/>
  <c r="H5" i="11"/>
  <c r="H30" i="11" s="1"/>
  <c r="H4" i="11"/>
  <c r="H117" i="11" s="1"/>
  <c r="H3" i="11"/>
  <c r="H245" i="11"/>
  <c r="H236" i="11"/>
  <c r="H227" i="11"/>
  <c r="H200" i="11"/>
  <c r="H192" i="11"/>
  <c r="H187" i="11"/>
  <c r="H167" i="11"/>
  <c r="H166" i="11"/>
  <c r="H142" i="11"/>
  <c r="H133" i="11"/>
  <c r="H128" i="11"/>
  <c r="H110" i="11"/>
  <c r="H86" i="11"/>
  <c r="H47" i="11"/>
  <c r="H23" i="11"/>
  <c r="X256" i="11"/>
  <c r="X243" i="11"/>
  <c r="X242" i="11"/>
  <c r="X241" i="11"/>
  <c r="X240" i="11"/>
  <c r="X239" i="11"/>
  <c r="X236" i="11"/>
  <c r="X227" i="11"/>
  <c r="X221" i="11"/>
  <c r="X200" i="11"/>
  <c r="X192" i="11"/>
  <c r="X187" i="11"/>
  <c r="X181" i="11"/>
  <c r="X178" i="11"/>
  <c r="X173" i="11"/>
  <c r="X166" i="11"/>
  <c r="X142" i="11"/>
  <c r="X134" i="11"/>
  <c r="X133" i="11"/>
  <c r="X129" i="11"/>
  <c r="X139" i="11" s="1"/>
  <c r="X128" i="11"/>
  <c r="X117" i="11"/>
  <c r="X111" i="11"/>
  <c r="X110" i="11"/>
  <c r="X86" i="11"/>
  <c r="X47" i="11"/>
  <c r="X45" i="11"/>
  <c r="X41" i="11"/>
  <c r="X39" i="11"/>
  <c r="X38" i="11"/>
  <c r="X36" i="11"/>
  <c r="X34" i="11"/>
  <c r="X23" i="11"/>
  <c r="W38" i="11"/>
  <c r="H239" i="11" l="1"/>
  <c r="H231" i="11"/>
  <c r="X179" i="11"/>
  <c r="H34" i="11"/>
  <c r="H38" i="11"/>
  <c r="H129" i="11"/>
  <c r="H139" i="11" s="1"/>
  <c r="H27" i="11"/>
  <c r="H172" i="11"/>
  <c r="H173" i="11" s="1"/>
  <c r="H178" i="11"/>
  <c r="H179" i="11" s="1"/>
  <c r="H240" i="11"/>
  <c r="H212" i="11"/>
  <c r="H215" i="11" s="1"/>
  <c r="H111" i="11"/>
  <c r="H136" i="11" s="1"/>
  <c r="H241" i="11"/>
  <c r="H243" i="11"/>
  <c r="H36" i="11"/>
  <c r="H41" i="11"/>
  <c r="H45" i="11"/>
  <c r="H39" i="11"/>
  <c r="H242" i="11"/>
  <c r="H6" i="11"/>
  <c r="X217" i="11"/>
  <c r="X118" i="11"/>
  <c r="X214" i="11"/>
  <c r="X222" i="11"/>
  <c r="X42" i="11"/>
  <c r="X136" i="11"/>
  <c r="X215" i="11"/>
  <c r="X223" i="11"/>
  <c r="X216" i="11"/>
  <c r="X224" i="11"/>
  <c r="X218" i="11"/>
  <c r="X219" i="11"/>
  <c r="X220" i="11"/>
  <c r="W67" i="11"/>
  <c r="W172" i="11"/>
  <c r="X123" i="11" l="1"/>
  <c r="Y137" i="11"/>
  <c r="AB137" i="11" s="1"/>
  <c r="H42" i="11"/>
  <c r="H118" i="11"/>
  <c r="H126" i="11" s="1"/>
  <c r="H223" i="11"/>
  <c r="H218" i="11"/>
  <c r="H219" i="11"/>
  <c r="H214" i="11"/>
  <c r="H224" i="11"/>
  <c r="H222" i="11"/>
  <c r="H221" i="11"/>
  <c r="H217" i="11"/>
  <c r="H216" i="11"/>
  <c r="H220" i="11"/>
  <c r="X225" i="11"/>
  <c r="X125" i="11"/>
  <c r="X121" i="11"/>
  <c r="X126" i="11"/>
  <c r="X124" i="11"/>
  <c r="X122" i="11"/>
  <c r="W129" i="11"/>
  <c r="W80" i="11"/>
  <c r="V80" i="11"/>
  <c r="AA80" i="11" s="1"/>
  <c r="U80" i="11"/>
  <c r="Q80" i="11"/>
  <c r="P80" i="11"/>
  <c r="M80" i="11"/>
  <c r="G80" i="11"/>
  <c r="F80" i="11"/>
  <c r="E80" i="11"/>
  <c r="D80" i="11"/>
  <c r="C80" i="11"/>
  <c r="B80" i="11"/>
  <c r="W111" i="11"/>
  <c r="H122" i="11" l="1"/>
  <c r="H124" i="11"/>
  <c r="H123" i="11"/>
  <c r="H121" i="11"/>
  <c r="H125" i="11"/>
  <c r="H225" i="11"/>
  <c r="W95" i="11"/>
  <c r="W45" i="11" l="1"/>
  <c r="W27" i="11"/>
  <c r="W6" i="11"/>
  <c r="W231" i="11"/>
  <c r="W212" i="11"/>
  <c r="W198" i="11"/>
  <c r="W178" i="11"/>
  <c r="W136" i="11"/>
  <c r="W36" i="11"/>
  <c r="W34" i="11"/>
  <c r="W19" i="11"/>
  <c r="W223" i="11" l="1"/>
  <c r="X137" i="11"/>
  <c r="W236" i="11"/>
  <c r="W47" i="11"/>
  <c r="W256" i="11"/>
  <c r="W243" i="11"/>
  <c r="W242" i="11"/>
  <c r="W241" i="11"/>
  <c r="W240" i="11"/>
  <c r="W239" i="11"/>
  <c r="W227" i="11"/>
  <c r="W217" i="11"/>
  <c r="W200" i="11"/>
  <c r="W192" i="11"/>
  <c r="W187" i="11"/>
  <c r="W181" i="11"/>
  <c r="W179" i="11"/>
  <c r="W173" i="11"/>
  <c r="W166" i="11"/>
  <c r="W145" i="11"/>
  <c r="W142" i="11"/>
  <c r="W134" i="11"/>
  <c r="W133" i="11"/>
  <c r="W139" i="11"/>
  <c r="W128" i="11"/>
  <c r="W117" i="11"/>
  <c r="W110" i="11"/>
  <c r="W106" i="11"/>
  <c r="W86" i="11"/>
  <c r="W56" i="11"/>
  <c r="W54" i="11"/>
  <c r="W52" i="11"/>
  <c r="W41" i="11"/>
  <c r="W39" i="11"/>
  <c r="W23" i="11"/>
  <c r="G212" i="11"/>
  <c r="G217" i="11" s="1"/>
  <c r="F212" i="11"/>
  <c r="F223" i="11" s="1"/>
  <c r="E212" i="11"/>
  <c r="E220" i="11" s="1"/>
  <c r="D212" i="11"/>
  <c r="D222" i="11" s="1"/>
  <c r="C212" i="11"/>
  <c r="C219" i="11" s="1"/>
  <c r="B212" i="11"/>
  <c r="B219" i="11" s="1"/>
  <c r="U212" i="11"/>
  <c r="S212" i="11"/>
  <c r="S223" i="11" s="1"/>
  <c r="R212" i="11"/>
  <c r="R219" i="11" s="1"/>
  <c r="Q212" i="11"/>
  <c r="Q224" i="11" s="1"/>
  <c r="O212" i="11"/>
  <c r="O218" i="11" s="1"/>
  <c r="N212" i="11"/>
  <c r="N223" i="11" s="1"/>
  <c r="M212" i="11"/>
  <c r="M217" i="11" s="1"/>
  <c r="V212" i="11"/>
  <c r="V223" i="11" l="1"/>
  <c r="AA212" i="11"/>
  <c r="U220" i="11"/>
  <c r="W118" i="11"/>
  <c r="W55" i="11"/>
  <c r="W143" i="11"/>
  <c r="W42" i="11"/>
  <c r="U214" i="11"/>
  <c r="W69" i="11"/>
  <c r="M220" i="11"/>
  <c r="W216" i="11"/>
  <c r="W218" i="11"/>
  <c r="W107" i="11"/>
  <c r="U222" i="11"/>
  <c r="U223" i="11"/>
  <c r="U218" i="11"/>
  <c r="S217" i="11"/>
  <c r="S218" i="11"/>
  <c r="M218" i="11"/>
  <c r="W219" i="11"/>
  <c r="N218" i="11"/>
  <c r="W220" i="11"/>
  <c r="W138" i="11"/>
  <c r="W83" i="11"/>
  <c r="W214" i="11"/>
  <c r="W222" i="11"/>
  <c r="W221" i="11"/>
  <c r="W215" i="11"/>
  <c r="W224" i="11"/>
  <c r="N220" i="11"/>
  <c r="S224" i="11"/>
  <c r="M223" i="11"/>
  <c r="U217" i="11"/>
  <c r="R214" i="11"/>
  <c r="G218" i="11"/>
  <c r="Q217" i="11"/>
  <c r="G219" i="11"/>
  <c r="U221" i="11"/>
  <c r="N214" i="11"/>
  <c r="F220" i="11"/>
  <c r="V218" i="11"/>
  <c r="B216" i="11"/>
  <c r="V219" i="11"/>
  <c r="Q218" i="11"/>
  <c r="M224" i="11"/>
  <c r="E217" i="11"/>
  <c r="V220" i="11"/>
  <c r="U219" i="11"/>
  <c r="S219" i="11"/>
  <c r="M214" i="11"/>
  <c r="M219" i="11"/>
  <c r="N224" i="11"/>
  <c r="F217" i="11"/>
  <c r="V221" i="11"/>
  <c r="B221" i="11"/>
  <c r="R220" i="11"/>
  <c r="M221" i="11"/>
  <c r="E222" i="11"/>
  <c r="V216" i="11"/>
  <c r="U215" i="11"/>
  <c r="U224" i="11"/>
  <c r="R221" i="11"/>
  <c r="N216" i="11"/>
  <c r="M222" i="11"/>
  <c r="G221" i="11"/>
  <c r="F222" i="11"/>
  <c r="V224" i="11"/>
  <c r="M215" i="11"/>
  <c r="M216" i="11"/>
  <c r="G220" i="11"/>
  <c r="V217" i="11"/>
  <c r="U216" i="11"/>
  <c r="S216" i="11"/>
  <c r="R222" i="11"/>
  <c r="N222" i="11"/>
  <c r="F215" i="11"/>
  <c r="B224" i="11"/>
  <c r="C214" i="11"/>
  <c r="Q219" i="11"/>
  <c r="O216" i="11"/>
  <c r="O222" i="11"/>
  <c r="C216" i="11"/>
  <c r="E219" i="11"/>
  <c r="R215" i="11"/>
  <c r="Q220" i="11"/>
  <c r="F214" i="11"/>
  <c r="D216" i="11"/>
  <c r="C218" i="11"/>
  <c r="F219" i="11"/>
  <c r="D221" i="11"/>
  <c r="B223" i="11"/>
  <c r="E224" i="11"/>
  <c r="S220" i="11"/>
  <c r="R216" i="11"/>
  <c r="R224" i="11"/>
  <c r="Q221" i="11"/>
  <c r="G214" i="11"/>
  <c r="G222" i="11"/>
  <c r="B215" i="11"/>
  <c r="E216" i="11"/>
  <c r="D218" i="11"/>
  <c r="B220" i="11"/>
  <c r="E221" i="11"/>
  <c r="C223" i="11"/>
  <c r="F224" i="11"/>
  <c r="V214" i="11"/>
  <c r="V222" i="11"/>
  <c r="S221" i="11"/>
  <c r="R217" i="11"/>
  <c r="Q214" i="11"/>
  <c r="Q222" i="11"/>
  <c r="N215" i="11"/>
  <c r="N217" i="11"/>
  <c r="N219" i="11"/>
  <c r="N221" i="11"/>
  <c r="G215" i="11"/>
  <c r="G223" i="11"/>
  <c r="C215" i="11"/>
  <c r="F216" i="11"/>
  <c r="E218" i="11"/>
  <c r="C220" i="11"/>
  <c r="F221" i="11"/>
  <c r="D223" i="11"/>
  <c r="V215" i="11"/>
  <c r="S214" i="11"/>
  <c r="S222" i="11"/>
  <c r="R218" i="11"/>
  <c r="Q215" i="11"/>
  <c r="Q223" i="11"/>
  <c r="O215" i="11"/>
  <c r="O217" i="11"/>
  <c r="O219" i="11"/>
  <c r="O221" i="11"/>
  <c r="O223" i="11"/>
  <c r="G216" i="11"/>
  <c r="G224" i="11"/>
  <c r="D215" i="11"/>
  <c r="B217" i="11"/>
  <c r="F218" i="11"/>
  <c r="D220" i="11"/>
  <c r="B222" i="11"/>
  <c r="E223" i="11"/>
  <c r="D214" i="11"/>
  <c r="D219" i="11"/>
  <c r="C224" i="11"/>
  <c r="O214" i="11"/>
  <c r="O220" i="11"/>
  <c r="O224" i="11"/>
  <c r="E214" i="11"/>
  <c r="C221" i="11"/>
  <c r="D224" i="11"/>
  <c r="R223" i="11"/>
  <c r="S215" i="11"/>
  <c r="Q216" i="11"/>
  <c r="B214" i="11"/>
  <c r="E215" i="11"/>
  <c r="C217" i="11"/>
  <c r="C222" i="11"/>
  <c r="D217" i="11"/>
  <c r="V198" i="11"/>
  <c r="W61" i="11" l="1"/>
  <c r="W84" i="11"/>
  <c r="W125" i="11"/>
  <c r="W124" i="11"/>
  <c r="W123" i="11"/>
  <c r="W121" i="11"/>
  <c r="W122" i="11"/>
  <c r="W126" i="11"/>
  <c r="W225" i="11"/>
  <c r="U225" i="11"/>
  <c r="O225" i="11"/>
  <c r="M225" i="11"/>
  <c r="R225" i="11"/>
  <c r="N225" i="11"/>
  <c r="Q225" i="11"/>
  <c r="D225" i="11"/>
  <c r="C225" i="11"/>
  <c r="E225" i="11"/>
  <c r="G225" i="11"/>
  <c r="F225" i="11"/>
  <c r="S225" i="11"/>
  <c r="B225" i="11"/>
  <c r="V45" i="11"/>
  <c r="W63" i="11" l="1"/>
  <c r="W66" i="11" s="1"/>
  <c r="W70" i="11" l="1"/>
  <c r="V52" i="11"/>
  <c r="AA52" i="11" s="1"/>
  <c r="V106" i="11" l="1"/>
  <c r="AA106" i="11" s="1"/>
  <c r="V67" i="11"/>
  <c r="AA67" i="11" s="1"/>
  <c r="V111" i="11"/>
  <c r="AA111" i="11" s="1"/>
  <c r="V19" i="11"/>
  <c r="V172" i="11" l="1"/>
  <c r="AA172" i="11" s="1"/>
  <c r="V134" i="11" l="1"/>
  <c r="V240" i="11" l="1"/>
  <c r="V239" i="11"/>
  <c r="V256" i="11"/>
  <c r="V243" i="11"/>
  <c r="V242" i="11"/>
  <c r="V241" i="11"/>
  <c r="V231" i="11"/>
  <c r="AA231" i="11" s="1"/>
  <c r="V227" i="11"/>
  <c r="V200" i="11"/>
  <c r="V192" i="11"/>
  <c r="V187" i="11"/>
  <c r="V181" i="11"/>
  <c r="AA181" i="11" s="1"/>
  <c r="V178" i="11"/>
  <c r="AA178" i="11" s="1"/>
  <c r="V166" i="11"/>
  <c r="V145" i="11"/>
  <c r="AA145" i="11" s="1"/>
  <c r="V142" i="11"/>
  <c r="V133" i="11"/>
  <c r="V129" i="11"/>
  <c r="V139" i="11" s="1"/>
  <c r="V128" i="11"/>
  <c r="V110" i="11"/>
  <c r="V143" i="11"/>
  <c r="AA143" i="11" s="1"/>
  <c r="V95" i="11"/>
  <c r="AA95" i="11" s="1"/>
  <c r="V86" i="11"/>
  <c r="V56" i="11"/>
  <c r="AA56" i="11" s="1"/>
  <c r="V54" i="11"/>
  <c r="AA54" i="11" s="1"/>
  <c r="V47" i="11"/>
  <c r="V41" i="11"/>
  <c r="V39" i="11"/>
  <c r="AA39" i="11" s="1"/>
  <c r="V38" i="11"/>
  <c r="AA38" i="11" s="1"/>
  <c r="V36" i="11"/>
  <c r="AA36" i="11" s="1"/>
  <c r="V34" i="11"/>
  <c r="AA34" i="11" s="1"/>
  <c r="V27" i="11"/>
  <c r="V23" i="11"/>
  <c r="W144" i="11" l="1"/>
  <c r="V69" i="11"/>
  <c r="AA69" i="11" s="1"/>
  <c r="W146" i="11"/>
  <c r="V42" i="11"/>
  <c r="V173" i="11"/>
  <c r="V179" i="11"/>
  <c r="V136" i="11"/>
  <c r="AA136" i="11" s="1"/>
  <c r="V107" i="11"/>
  <c r="V55" i="11"/>
  <c r="AA55" i="11" s="1"/>
  <c r="V83" i="11"/>
  <c r="G46" i="11"/>
  <c r="U67" i="11"/>
  <c r="W137" i="11" l="1"/>
  <c r="W164" i="11"/>
  <c r="W147" i="11"/>
  <c r="W150" i="11"/>
  <c r="W148" i="11"/>
  <c r="W159" i="11"/>
  <c r="W161" i="11"/>
  <c r="W158" i="11"/>
  <c r="W156" i="11"/>
  <c r="W149" i="11"/>
  <c r="W154" i="11"/>
  <c r="W151" i="11"/>
  <c r="W155" i="11"/>
  <c r="W163" i="11"/>
  <c r="V138" i="11"/>
  <c r="V61" i="11"/>
  <c r="AA61" i="11" s="1"/>
  <c r="V84" i="11"/>
  <c r="V225" i="11"/>
  <c r="U106" i="11"/>
  <c r="W152" i="11" l="1"/>
  <c r="V63" i="11"/>
  <c r="AA63" i="11" s="1"/>
  <c r="W157" i="11"/>
  <c r="W160" i="11" s="1"/>
  <c r="W162" i="11" s="1"/>
  <c r="W140" i="11"/>
  <c r="W153" i="11"/>
  <c r="U145" i="11"/>
  <c r="V66" i="11" l="1"/>
  <c r="AA66" i="11" s="1"/>
  <c r="V146" i="11"/>
  <c r="AA146" i="11" s="1"/>
  <c r="U256" i="11"/>
  <c r="U243" i="11"/>
  <c r="U242" i="11"/>
  <c r="U241" i="11"/>
  <c r="U240" i="11"/>
  <c r="U239" i="11"/>
  <c r="U231" i="11"/>
  <c r="U227" i="11"/>
  <c r="U200" i="11"/>
  <c r="U198" i="11"/>
  <c r="U192" i="11"/>
  <c r="U187" i="11"/>
  <c r="U181" i="11"/>
  <c r="U178" i="11"/>
  <c r="U172" i="11"/>
  <c r="U166" i="11"/>
  <c r="U142" i="11"/>
  <c r="U133" i="11"/>
  <c r="U129" i="11"/>
  <c r="U139" i="11" s="1"/>
  <c r="U128" i="11"/>
  <c r="U117" i="11"/>
  <c r="U110" i="11"/>
  <c r="U95" i="11"/>
  <c r="U86" i="11"/>
  <c r="U69" i="11"/>
  <c r="U56" i="11"/>
  <c r="U54" i="11"/>
  <c r="U47" i="11"/>
  <c r="U45" i="11"/>
  <c r="U41" i="11"/>
  <c r="U39" i="11"/>
  <c r="U38" i="11"/>
  <c r="U36" i="11"/>
  <c r="U34" i="11"/>
  <c r="U27" i="11"/>
  <c r="U23" i="11"/>
  <c r="U19" i="11"/>
  <c r="U6" i="11"/>
  <c r="R64" i="11"/>
  <c r="V70" i="11" l="1"/>
  <c r="AA70" i="11" s="1"/>
  <c r="U173" i="11"/>
  <c r="U179" i="11"/>
  <c r="U51" i="11"/>
  <c r="U42" i="11"/>
  <c r="U107" i="11"/>
  <c r="U143" i="11"/>
  <c r="U111" i="11"/>
  <c r="B73" i="11"/>
  <c r="V164" i="11" l="1"/>
  <c r="U52" i="11"/>
  <c r="V144" i="11"/>
  <c r="AA144" i="11" s="1"/>
  <c r="U136" i="11"/>
  <c r="U118" i="11"/>
  <c r="O243" i="11"/>
  <c r="N243" i="11"/>
  <c r="O242" i="11"/>
  <c r="N242" i="11"/>
  <c r="O241" i="11"/>
  <c r="N241" i="11"/>
  <c r="O240" i="11"/>
  <c r="N240" i="11"/>
  <c r="U55" i="11" l="1"/>
  <c r="V156" i="11"/>
  <c r="U83" i="11"/>
  <c r="V158" i="11"/>
  <c r="V155" i="11"/>
  <c r="V159" i="11"/>
  <c r="V154" i="11"/>
  <c r="V161" i="11"/>
  <c r="V151" i="11"/>
  <c r="V149" i="11"/>
  <c r="V163" i="11"/>
  <c r="V150" i="11"/>
  <c r="V147" i="11"/>
  <c r="V137" i="11"/>
  <c r="AA137" i="11" s="1"/>
  <c r="V148" i="11"/>
  <c r="U138" i="11"/>
  <c r="U125" i="11"/>
  <c r="U123" i="11"/>
  <c r="U121" i="11"/>
  <c r="U126" i="11"/>
  <c r="U122" i="11"/>
  <c r="U124" i="11"/>
  <c r="M243" i="11"/>
  <c r="M242" i="11"/>
  <c r="M241" i="11"/>
  <c r="M240" i="11"/>
  <c r="O239" i="11"/>
  <c r="N239" i="11"/>
  <c r="M239" i="11"/>
  <c r="U84" i="11" l="1"/>
  <c r="U61" i="11"/>
  <c r="V157" i="11"/>
  <c r="V160" i="11" s="1"/>
  <c r="V162" i="11" s="1"/>
  <c r="V153" i="11"/>
  <c r="V152" i="11"/>
  <c r="V140" i="11"/>
  <c r="U63" i="11"/>
  <c r="S243" i="11"/>
  <c r="R243" i="11"/>
  <c r="T243" i="11"/>
  <c r="T241" i="11"/>
  <c r="S241" i="11"/>
  <c r="R241" i="11"/>
  <c r="U66" i="11" l="1"/>
  <c r="G62" i="11"/>
  <c r="T44" i="11"/>
  <c r="U70" i="11" l="1"/>
  <c r="R242" i="11"/>
  <c r="S242" i="11"/>
  <c r="T242" i="11"/>
  <c r="R240" i="11"/>
  <c r="S240" i="11"/>
  <c r="T240" i="11"/>
  <c r="T239" i="11"/>
  <c r="S239" i="11"/>
  <c r="R239" i="11"/>
  <c r="Q239" i="11"/>
  <c r="P238" i="11"/>
  <c r="P237" i="11"/>
  <c r="P239" i="11" l="1"/>
  <c r="P241" i="11"/>
  <c r="Q241" i="11"/>
  <c r="Q242" i="11"/>
  <c r="P243" i="11"/>
  <c r="Q243" i="11"/>
  <c r="P240" i="11"/>
  <c r="Q240" i="11"/>
  <c r="P242" i="11"/>
  <c r="D241" i="11"/>
  <c r="E241" i="11"/>
  <c r="F241" i="11"/>
  <c r="C241" i="11"/>
  <c r="D240" i="11"/>
  <c r="E240" i="11"/>
  <c r="F240" i="11"/>
  <c r="C240" i="11"/>
  <c r="D242" i="11"/>
  <c r="E242" i="11"/>
  <c r="F242" i="11"/>
  <c r="C242" i="11"/>
  <c r="D243" i="11"/>
  <c r="E243" i="11"/>
  <c r="F243" i="11"/>
  <c r="C243" i="11"/>
  <c r="P50" i="11" l="1"/>
  <c r="T50" i="11"/>
  <c r="T234" i="11"/>
  <c r="T233" i="11"/>
  <c r="T229" i="11"/>
  <c r="T230" i="11"/>
  <c r="T228" i="11"/>
  <c r="T202" i="11"/>
  <c r="T203" i="11"/>
  <c r="T206" i="11"/>
  <c r="T207" i="11"/>
  <c r="T204" i="11"/>
  <c r="T208" i="11"/>
  <c r="T209" i="11"/>
  <c r="T211" i="11"/>
  <c r="T210" i="11"/>
  <c r="T205" i="11"/>
  <c r="T201" i="11"/>
  <c r="G198" i="11"/>
  <c r="T194" i="11"/>
  <c r="T195" i="11"/>
  <c r="T196" i="11"/>
  <c r="T197" i="11"/>
  <c r="T193" i="11"/>
  <c r="T189" i="11"/>
  <c r="T190" i="11"/>
  <c r="T188" i="11"/>
  <c r="T183" i="11"/>
  <c r="T184" i="11"/>
  <c r="T185" i="11"/>
  <c r="T182" i="11"/>
  <c r="T177" i="11"/>
  <c r="T176" i="11"/>
  <c r="T169" i="11"/>
  <c r="T170" i="11"/>
  <c r="T171" i="11"/>
  <c r="T168" i="11"/>
  <c r="T131" i="11"/>
  <c r="T130" i="11"/>
  <c r="T113" i="11"/>
  <c r="T114" i="11"/>
  <c r="T115" i="11"/>
  <c r="T116" i="11"/>
  <c r="T112" i="11"/>
  <c r="T99" i="11"/>
  <c r="T100" i="11"/>
  <c r="T102" i="11"/>
  <c r="T103" i="11"/>
  <c r="T105" i="11"/>
  <c r="T98" i="11"/>
  <c r="T89" i="11"/>
  <c r="T90" i="11"/>
  <c r="T91" i="11"/>
  <c r="T92" i="11"/>
  <c r="T88" i="11"/>
  <c r="G67" i="11"/>
  <c r="G35" i="11"/>
  <c r="G33" i="11"/>
  <c r="G32" i="11"/>
  <c r="G26" i="11"/>
  <c r="G24" i="11"/>
  <c r="T67" i="11" l="1"/>
  <c r="I67" i="11"/>
  <c r="T212" i="11"/>
  <c r="G14" i="11"/>
  <c r="I14" i="11" s="1"/>
  <c r="G13" i="11"/>
  <c r="I13" i="11" s="1"/>
  <c r="G8" i="11"/>
  <c r="I8" i="11" s="1"/>
  <c r="G4" i="11"/>
  <c r="I4" i="11" s="1"/>
  <c r="G5" i="11"/>
  <c r="G3" i="11"/>
  <c r="I3" i="11" s="1"/>
  <c r="I5" i="11" l="1"/>
  <c r="G30" i="11"/>
  <c r="T221" i="11"/>
  <c r="T214" i="11"/>
  <c r="T223" i="11"/>
  <c r="T215" i="11"/>
  <c r="T224" i="11"/>
  <c r="T217" i="11"/>
  <c r="T220" i="11"/>
  <c r="T222" i="11"/>
  <c r="T216" i="11"/>
  <c r="T218" i="11"/>
  <c r="T219" i="11"/>
  <c r="G242" i="11"/>
  <c r="G240" i="11"/>
  <c r="G243" i="11"/>
  <c r="G241" i="11"/>
  <c r="T198" i="11"/>
  <c r="S146" i="11"/>
  <c r="T117" i="11"/>
  <c r="S231" i="11"/>
  <c r="S227" i="11"/>
  <c r="S200" i="11"/>
  <c r="S198" i="11"/>
  <c r="S192" i="11"/>
  <c r="S187" i="11"/>
  <c r="S181" i="11"/>
  <c r="S178" i="11"/>
  <c r="S172" i="11"/>
  <c r="S166" i="11"/>
  <c r="S142" i="11"/>
  <c r="S134" i="11"/>
  <c r="S133" i="11"/>
  <c r="S129" i="11"/>
  <c r="S139" i="11" s="1"/>
  <c r="S128" i="11"/>
  <c r="S117" i="11"/>
  <c r="S111" i="11"/>
  <c r="S110" i="11"/>
  <c r="S106" i="11"/>
  <c r="S95" i="11"/>
  <c r="S86" i="11"/>
  <c r="S77" i="11"/>
  <c r="S80" i="11" s="1"/>
  <c r="S67" i="11"/>
  <c r="S56" i="11"/>
  <c r="S54" i="11"/>
  <c r="S47" i="11"/>
  <c r="S45" i="11"/>
  <c r="S41" i="11"/>
  <c r="S39" i="11"/>
  <c r="S38" i="11"/>
  <c r="S36" i="11"/>
  <c r="S34" i="11"/>
  <c r="S27" i="11"/>
  <c r="S23" i="11"/>
  <c r="S19" i="11"/>
  <c r="S6" i="11"/>
  <c r="G56" i="11"/>
  <c r="G254" i="11"/>
  <c r="G245" i="11"/>
  <c r="G239" i="11"/>
  <c r="G236" i="11"/>
  <c r="G231" i="11"/>
  <c r="G227" i="11"/>
  <c r="G200" i="11"/>
  <c r="G192" i="11"/>
  <c r="G187" i="11"/>
  <c r="G181" i="11"/>
  <c r="G178" i="11"/>
  <c r="G179" i="11" s="1"/>
  <c r="G172" i="11"/>
  <c r="G167" i="11"/>
  <c r="G166" i="11"/>
  <c r="G145" i="11"/>
  <c r="G142" i="11"/>
  <c r="G133" i="11"/>
  <c r="G129" i="11"/>
  <c r="G139" i="11" s="1"/>
  <c r="G128" i="11"/>
  <c r="G117" i="11"/>
  <c r="I117" i="11" s="1"/>
  <c r="G111" i="11"/>
  <c r="G110" i="11"/>
  <c r="G106" i="11"/>
  <c r="G95" i="11"/>
  <c r="G143" i="11" s="1"/>
  <c r="G86" i="11"/>
  <c r="G51" i="11"/>
  <c r="G54" i="11"/>
  <c r="G47" i="11"/>
  <c r="G41" i="11"/>
  <c r="G39" i="11"/>
  <c r="G38" i="11"/>
  <c r="G36" i="11"/>
  <c r="G34" i="11"/>
  <c r="G27" i="11"/>
  <c r="G23" i="11"/>
  <c r="G19" i="11"/>
  <c r="G6" i="11"/>
  <c r="G136" i="11" l="1"/>
  <c r="I111" i="11"/>
  <c r="G52" i="11"/>
  <c r="G83" i="11" s="1"/>
  <c r="T145" i="11"/>
  <c r="S69" i="11"/>
  <c r="S51" i="11"/>
  <c r="S143" i="11"/>
  <c r="T225" i="11"/>
  <c r="S136" i="11"/>
  <c r="S173" i="11"/>
  <c r="S179" i="11"/>
  <c r="S42" i="11"/>
  <c r="G173" i="11"/>
  <c r="S107" i="11"/>
  <c r="S118" i="11"/>
  <c r="G69" i="11"/>
  <c r="G138" i="11"/>
  <c r="G107" i="11"/>
  <c r="G42" i="11"/>
  <c r="G118" i="11"/>
  <c r="I118" i="11" s="1"/>
  <c r="T146" i="11" l="1"/>
  <c r="G55" i="11"/>
  <c r="U146" i="11"/>
  <c r="U164" i="11" s="1"/>
  <c r="H137" i="11"/>
  <c r="I136" i="11"/>
  <c r="S138" i="11"/>
  <c r="S126" i="11"/>
  <c r="S52" i="11"/>
  <c r="S144" i="11"/>
  <c r="S124" i="11"/>
  <c r="S123" i="11"/>
  <c r="S121" i="11"/>
  <c r="S125" i="11"/>
  <c r="S122" i="11"/>
  <c r="G125" i="11"/>
  <c r="G124" i="11"/>
  <c r="G123" i="11"/>
  <c r="G122" i="11"/>
  <c r="G121" i="11"/>
  <c r="G126" i="11"/>
  <c r="R146" i="11"/>
  <c r="Q146" i="11"/>
  <c r="P146" i="11"/>
  <c r="O146" i="11"/>
  <c r="N146" i="11"/>
  <c r="O144" i="11"/>
  <c r="P144" i="11"/>
  <c r="Q144" i="11"/>
  <c r="R144" i="11"/>
  <c r="N144" i="11"/>
  <c r="O67" i="11"/>
  <c r="O77" i="11"/>
  <c r="O80" i="11" s="1"/>
  <c r="G84" i="11" l="1"/>
  <c r="G61" i="11"/>
  <c r="S150" i="11"/>
  <c r="S55" i="11"/>
  <c r="S61" i="11" s="1"/>
  <c r="S158" i="11"/>
  <c r="S149" i="11"/>
  <c r="S161" i="11"/>
  <c r="S156" i="11"/>
  <c r="S148" i="11"/>
  <c r="S154" i="11"/>
  <c r="S147" i="11"/>
  <c r="S151" i="11"/>
  <c r="S159" i="11"/>
  <c r="S83" i="11"/>
  <c r="T69" i="11"/>
  <c r="O181" i="11"/>
  <c r="R159" i="11"/>
  <c r="G63" i="11" l="1"/>
  <c r="S153" i="11"/>
  <c r="S84" i="11"/>
  <c r="S152" i="11"/>
  <c r="S155" i="11"/>
  <c r="S157" i="11" s="1"/>
  <c r="S160" i="11" s="1"/>
  <c r="S162" i="11" s="1"/>
  <c r="S63" i="11"/>
  <c r="F245" i="11"/>
  <c r="E245" i="11"/>
  <c r="D245" i="11"/>
  <c r="C245" i="11"/>
  <c r="B245" i="11"/>
  <c r="F236" i="11"/>
  <c r="E236" i="11"/>
  <c r="D236" i="11"/>
  <c r="C236" i="11"/>
  <c r="B236" i="11"/>
  <c r="AB227" i="11"/>
  <c r="AA227" i="11"/>
  <c r="T227" i="11"/>
  <c r="R227" i="11"/>
  <c r="Q227" i="11"/>
  <c r="P227" i="11"/>
  <c r="O227" i="11"/>
  <c r="N227" i="11"/>
  <c r="M227" i="11"/>
  <c r="F227" i="11"/>
  <c r="E227" i="11"/>
  <c r="D227" i="11"/>
  <c r="C227" i="11"/>
  <c r="B227" i="11"/>
  <c r="AB200" i="11"/>
  <c r="AA200" i="11"/>
  <c r="T200" i="11"/>
  <c r="R200" i="11"/>
  <c r="Q200" i="11"/>
  <c r="P200" i="11"/>
  <c r="O200" i="11"/>
  <c r="N200" i="11"/>
  <c r="M200" i="11"/>
  <c r="F200" i="11"/>
  <c r="E200" i="11"/>
  <c r="D200" i="11"/>
  <c r="C200" i="11"/>
  <c r="B200" i="11"/>
  <c r="T192" i="11"/>
  <c r="R192" i="11"/>
  <c r="Q192" i="11"/>
  <c r="P192" i="11"/>
  <c r="O192" i="11"/>
  <c r="N192" i="11"/>
  <c r="M192" i="11"/>
  <c r="F192" i="11"/>
  <c r="E192" i="11"/>
  <c r="D192" i="11"/>
  <c r="C192" i="11"/>
  <c r="B192" i="11"/>
  <c r="T187" i="11"/>
  <c r="R187" i="11"/>
  <c r="Q187" i="11"/>
  <c r="P187" i="11"/>
  <c r="O187" i="11"/>
  <c r="N187" i="11"/>
  <c r="M187" i="11"/>
  <c r="F187" i="11"/>
  <c r="E187" i="11"/>
  <c r="D187" i="11"/>
  <c r="C187" i="11"/>
  <c r="B187" i="11"/>
  <c r="AB166" i="11"/>
  <c r="AA166" i="11"/>
  <c r="T166" i="11"/>
  <c r="R166" i="11"/>
  <c r="Q166" i="11"/>
  <c r="P166" i="11"/>
  <c r="O166" i="11"/>
  <c r="N166" i="11"/>
  <c r="M166" i="11"/>
  <c r="F166" i="11"/>
  <c r="E166" i="11"/>
  <c r="D166" i="11"/>
  <c r="C166" i="11"/>
  <c r="B166" i="11"/>
  <c r="AB142" i="11"/>
  <c r="AA142" i="11"/>
  <c r="T142" i="11"/>
  <c r="R142" i="11"/>
  <c r="Q142" i="11"/>
  <c r="P142" i="11"/>
  <c r="O142" i="11"/>
  <c r="N142" i="11"/>
  <c r="M142" i="11"/>
  <c r="F142" i="11"/>
  <c r="E142" i="11"/>
  <c r="D142" i="11"/>
  <c r="C142" i="11"/>
  <c r="B142" i="11"/>
  <c r="AB133" i="11"/>
  <c r="AA133" i="11"/>
  <c r="T133" i="11"/>
  <c r="R133" i="11"/>
  <c r="Q133" i="11"/>
  <c r="P133" i="11"/>
  <c r="O133" i="11"/>
  <c r="N133" i="11"/>
  <c r="M133" i="11"/>
  <c r="I133" i="11"/>
  <c r="F133" i="11"/>
  <c r="E133" i="11"/>
  <c r="D133" i="11"/>
  <c r="C133" i="11"/>
  <c r="B133" i="11"/>
  <c r="T128" i="11"/>
  <c r="R128" i="11"/>
  <c r="Q128" i="11"/>
  <c r="P128" i="11"/>
  <c r="O128" i="11"/>
  <c r="N128" i="11"/>
  <c r="M128" i="11"/>
  <c r="I128" i="11"/>
  <c r="F128" i="11"/>
  <c r="E128" i="11"/>
  <c r="D128" i="11"/>
  <c r="C128" i="11"/>
  <c r="B128" i="11"/>
  <c r="AB110" i="11"/>
  <c r="AA110" i="11"/>
  <c r="T110" i="11"/>
  <c r="R110" i="11"/>
  <c r="Q110" i="11"/>
  <c r="P110" i="11"/>
  <c r="O110" i="11"/>
  <c r="N110" i="11"/>
  <c r="M110" i="11"/>
  <c r="I110" i="11"/>
  <c r="F110" i="11"/>
  <c r="E110" i="11"/>
  <c r="D110" i="11"/>
  <c r="C110" i="11"/>
  <c r="B110" i="11"/>
  <c r="F86" i="11"/>
  <c r="E86" i="11"/>
  <c r="D86" i="11"/>
  <c r="C86" i="11"/>
  <c r="B86" i="11"/>
  <c r="I86" i="11"/>
  <c r="Q86" i="11"/>
  <c r="P86" i="11"/>
  <c r="O86" i="11"/>
  <c r="N86" i="11"/>
  <c r="M86" i="11"/>
  <c r="T86" i="11"/>
  <c r="AA86" i="11"/>
  <c r="AB86" i="11"/>
  <c r="R86" i="11"/>
  <c r="AB47" i="11"/>
  <c r="AA47" i="11"/>
  <c r="T47" i="11"/>
  <c r="R47" i="11"/>
  <c r="AB23" i="11"/>
  <c r="AA23" i="11"/>
  <c r="G66" i="11" l="1"/>
  <c r="S66" i="11"/>
  <c r="I47" i="11"/>
  <c r="O56" i="11"/>
  <c r="O6" i="11"/>
  <c r="O19" i="11"/>
  <c r="O111" i="11"/>
  <c r="O136" i="11" s="1"/>
  <c r="O117" i="11"/>
  <c r="O129" i="11"/>
  <c r="O139" i="11" s="1"/>
  <c r="O134" i="11"/>
  <c r="O47" i="11"/>
  <c r="O54" i="11"/>
  <c r="O69" i="11"/>
  <c r="O51" i="11"/>
  <c r="O52" i="11" s="1"/>
  <c r="O23" i="11"/>
  <c r="O27" i="11"/>
  <c r="O34" i="11"/>
  <c r="O36" i="11"/>
  <c r="O38" i="11"/>
  <c r="O39" i="11"/>
  <c r="O41" i="11"/>
  <c r="O45" i="11"/>
  <c r="O46" i="11" s="1"/>
  <c r="O147" i="11"/>
  <c r="O198" i="11"/>
  <c r="O172" i="11"/>
  <c r="O173" i="11" s="1"/>
  <c r="O178" i="11"/>
  <c r="O179" i="11" s="1"/>
  <c r="O231" i="11"/>
  <c r="O95" i="11"/>
  <c r="O106" i="11"/>
  <c r="T6" i="11"/>
  <c r="T19" i="11"/>
  <c r="T111" i="11"/>
  <c r="T129" i="11"/>
  <c r="T139" i="11" s="1"/>
  <c r="T23" i="11"/>
  <c r="T27" i="11"/>
  <c r="T34" i="11"/>
  <c r="T36" i="11"/>
  <c r="T38" i="11"/>
  <c r="T39" i="11"/>
  <c r="T41" i="11"/>
  <c r="T181" i="11"/>
  <c r="T172" i="11"/>
  <c r="T178" i="11"/>
  <c r="T231" i="11"/>
  <c r="T95" i="11"/>
  <c r="T106" i="11"/>
  <c r="E6" i="11"/>
  <c r="E18" i="11"/>
  <c r="E19" i="11" s="1"/>
  <c r="E111" i="11"/>
  <c r="E136" i="11" s="1"/>
  <c r="E117" i="11"/>
  <c r="E129" i="11"/>
  <c r="E139" i="11" s="1"/>
  <c r="E47" i="11"/>
  <c r="E52" i="11"/>
  <c r="E55" i="11" s="1"/>
  <c r="E54" i="11"/>
  <c r="E56" i="11"/>
  <c r="E23" i="11"/>
  <c r="E27" i="11"/>
  <c r="E34" i="11"/>
  <c r="E36" i="11"/>
  <c r="E38" i="11"/>
  <c r="E39" i="11"/>
  <c r="E41" i="11"/>
  <c r="E45" i="11"/>
  <c r="E46" i="11" s="1"/>
  <c r="E145" i="11"/>
  <c r="E181" i="11"/>
  <c r="E198" i="11"/>
  <c r="E167" i="11"/>
  <c r="E172" i="11"/>
  <c r="E173" i="11" s="1"/>
  <c r="E178" i="11"/>
  <c r="E179" i="11" s="1"/>
  <c r="E231" i="11"/>
  <c r="E95" i="11"/>
  <c r="E143" i="11" s="1"/>
  <c r="E106" i="11"/>
  <c r="E239" i="11"/>
  <c r="E254" i="11"/>
  <c r="G70" i="11" l="1"/>
  <c r="S70" i="11"/>
  <c r="T143" i="11"/>
  <c r="E69" i="11"/>
  <c r="E61" i="11"/>
  <c r="T173" i="11"/>
  <c r="T179" i="11"/>
  <c r="T136" i="11"/>
  <c r="E107" i="11"/>
  <c r="T107" i="11"/>
  <c r="T118" i="11"/>
  <c r="T42" i="11"/>
  <c r="E138" i="11"/>
  <c r="O107" i="11"/>
  <c r="O118" i="11"/>
  <c r="O124" i="11" s="1"/>
  <c r="O138" i="11"/>
  <c r="O149" i="11"/>
  <c r="O42" i="11"/>
  <c r="O151" i="11"/>
  <c r="O152" i="11" s="1"/>
  <c r="O156" i="11"/>
  <c r="O154" i="11"/>
  <c r="O83" i="11"/>
  <c r="O55" i="11"/>
  <c r="O150" i="11"/>
  <c r="O159" i="11"/>
  <c r="O161" i="11"/>
  <c r="O158" i="11"/>
  <c r="O148" i="11"/>
  <c r="E42" i="11"/>
  <c r="E84" i="11"/>
  <c r="E118" i="11"/>
  <c r="E126" i="11" s="1"/>
  <c r="E83" i="11"/>
  <c r="U137" i="11" l="1"/>
  <c r="U144" i="11"/>
  <c r="T138" i="11"/>
  <c r="T137" i="11"/>
  <c r="T144" i="11"/>
  <c r="E63" i="11"/>
  <c r="E66" i="11" s="1"/>
  <c r="O61" i="11"/>
  <c r="T123" i="11"/>
  <c r="T126" i="11"/>
  <c r="T125" i="11"/>
  <c r="T122" i="11"/>
  <c r="T121" i="11"/>
  <c r="T124" i="11"/>
  <c r="O123" i="11"/>
  <c r="O125" i="11"/>
  <c r="O121" i="11"/>
  <c r="O126" i="11"/>
  <c r="O122" i="11"/>
  <c r="E121" i="11"/>
  <c r="E123" i="11"/>
  <c r="E125" i="11"/>
  <c r="E122" i="11"/>
  <c r="E124" i="11"/>
  <c r="O153" i="11"/>
  <c r="O84" i="11"/>
  <c r="U140" i="11" l="1"/>
  <c r="U148" i="11"/>
  <c r="U147" i="11"/>
  <c r="U149" i="11"/>
  <c r="U151" i="11"/>
  <c r="U150" i="11"/>
  <c r="U156" i="11"/>
  <c r="U161" i="11"/>
  <c r="U158" i="11"/>
  <c r="U159" i="11"/>
  <c r="U154" i="11"/>
  <c r="U155" i="11"/>
  <c r="U163" i="11"/>
  <c r="T161" i="11"/>
  <c r="T147" i="11"/>
  <c r="T159" i="11"/>
  <c r="T148" i="11"/>
  <c r="O63" i="11"/>
  <c r="O66" i="11" s="1"/>
  <c r="O155" i="11"/>
  <c r="O157" i="11" s="1"/>
  <c r="O160" i="11" s="1"/>
  <c r="O162" i="11" s="1"/>
  <c r="U152" i="11" l="1"/>
  <c r="U153" i="11"/>
  <c r="U157" i="11"/>
  <c r="U160" i="11" s="1"/>
  <c r="U162" i="11" s="1"/>
  <c r="T158" i="11" l="1"/>
  <c r="Q129" i="11"/>
  <c r="P159" i="11" l="1"/>
  <c r="B159" i="11"/>
  <c r="P51" i="11"/>
  <c r="M51" i="11"/>
  <c r="N76" i="11"/>
  <c r="R76" i="11"/>
  <c r="R79" i="11"/>
  <c r="N77" i="11"/>
  <c r="R77" i="11"/>
  <c r="N80" i="11" l="1"/>
  <c r="N51" i="11" s="1"/>
  <c r="R80" i="11"/>
  <c r="T77" i="11"/>
  <c r="T79" i="11"/>
  <c r="Q51" i="11"/>
  <c r="F51" i="11"/>
  <c r="N159" i="11"/>
  <c r="Q159" i="11"/>
  <c r="N64" i="11"/>
  <c r="P64" i="11" s="1"/>
  <c r="N62" i="11"/>
  <c r="P62" i="11" s="1"/>
  <c r="R62" i="11"/>
  <c r="N53" i="11"/>
  <c r="R53" i="11"/>
  <c r="N59" i="11"/>
  <c r="P59" i="11" s="1"/>
  <c r="N57" i="11"/>
  <c r="P57" i="11" s="1"/>
  <c r="R59" i="11"/>
  <c r="R57" i="11"/>
  <c r="N67" i="11"/>
  <c r="T80" i="11" l="1"/>
  <c r="R51" i="11"/>
  <c r="T53" i="11"/>
  <c r="T57" i="11"/>
  <c r="T59" i="11"/>
  <c r="T156" i="11"/>
  <c r="R67" i="11"/>
  <c r="T151" i="11" l="1"/>
  <c r="T152" i="11" s="1"/>
  <c r="T54" i="11"/>
  <c r="T51" i="11"/>
  <c r="T56" i="11"/>
  <c r="P194" i="11"/>
  <c r="P195" i="11"/>
  <c r="P196" i="11"/>
  <c r="P197" i="11"/>
  <c r="F198" i="11"/>
  <c r="D198" i="11"/>
  <c r="M198" i="11"/>
  <c r="N198" i="11"/>
  <c r="Q198" i="11"/>
  <c r="R198" i="11"/>
  <c r="B198" i="11"/>
  <c r="C198" i="11"/>
  <c r="T149" i="11" l="1"/>
  <c r="T52" i="11"/>
  <c r="T154" i="11"/>
  <c r="N41" i="11"/>
  <c r="R129" i="11"/>
  <c r="R139" i="11" s="1"/>
  <c r="N47" i="11"/>
  <c r="N106" i="11"/>
  <c r="N95" i="11"/>
  <c r="N231" i="11"/>
  <c r="N178" i="11"/>
  <c r="N179" i="11" s="1"/>
  <c r="N172" i="11"/>
  <c r="N173" i="11" s="1"/>
  <c r="N161" i="11"/>
  <c r="N158" i="11"/>
  <c r="N156" i="11"/>
  <c r="N151" i="11"/>
  <c r="N149" i="11"/>
  <c r="N148" i="11"/>
  <c r="N147" i="11"/>
  <c r="N45" i="11"/>
  <c r="N46" i="11" s="1"/>
  <c r="N39" i="11"/>
  <c r="N34" i="11"/>
  <c r="N23" i="11"/>
  <c r="N69" i="11"/>
  <c r="N56" i="11"/>
  <c r="N54" i="11"/>
  <c r="N52" i="11"/>
  <c r="N55" i="11" s="1"/>
  <c r="N134" i="11"/>
  <c r="N129" i="11"/>
  <c r="N139" i="11" s="1"/>
  <c r="N117" i="11"/>
  <c r="N111" i="11"/>
  <c r="N19" i="11"/>
  <c r="N6" i="11"/>
  <c r="R106" i="11"/>
  <c r="R95" i="11"/>
  <c r="R231" i="11"/>
  <c r="R178" i="11"/>
  <c r="R172" i="11"/>
  <c r="R181" i="11"/>
  <c r="R161" i="11"/>
  <c r="R158" i="11"/>
  <c r="R156" i="11"/>
  <c r="R151" i="11"/>
  <c r="R149" i="11"/>
  <c r="R148" i="11"/>
  <c r="R147" i="11"/>
  <c r="R45" i="11"/>
  <c r="R46" i="11" s="1"/>
  <c r="R41" i="11"/>
  <c r="R39" i="11"/>
  <c r="R38" i="11"/>
  <c r="R36" i="11"/>
  <c r="R34" i="11"/>
  <c r="R27" i="11"/>
  <c r="R23" i="11"/>
  <c r="R69" i="11"/>
  <c r="R56" i="11"/>
  <c r="R54" i="11"/>
  <c r="R52" i="11"/>
  <c r="R134" i="11"/>
  <c r="R117" i="11"/>
  <c r="R111" i="11"/>
  <c r="R19" i="11"/>
  <c r="R6" i="11"/>
  <c r="N61" i="11" l="1"/>
  <c r="N63" i="11" s="1"/>
  <c r="N66" i="11" s="1"/>
  <c r="T55" i="11"/>
  <c r="T150" i="11"/>
  <c r="T153" i="11" s="1"/>
  <c r="T83" i="11"/>
  <c r="R179" i="11"/>
  <c r="R173" i="11"/>
  <c r="R154" i="11"/>
  <c r="R55" i="11"/>
  <c r="N154" i="11"/>
  <c r="R118" i="11"/>
  <c r="N107" i="11"/>
  <c r="N36" i="11"/>
  <c r="N42" i="11" s="1"/>
  <c r="N38" i="11"/>
  <c r="N27" i="11"/>
  <c r="R107" i="11"/>
  <c r="N150" i="11"/>
  <c r="N153" i="11" s="1"/>
  <c r="N118" i="11"/>
  <c r="N123" i="11" s="1"/>
  <c r="N152" i="11"/>
  <c r="N136" i="11"/>
  <c r="O137" i="11" s="1"/>
  <c r="O140" i="11" s="1"/>
  <c r="N83" i="11"/>
  <c r="N84" i="11"/>
  <c r="R150" i="11"/>
  <c r="R153" i="11" s="1"/>
  <c r="R136" i="11"/>
  <c r="R152" i="11"/>
  <c r="R42" i="11"/>
  <c r="R83" i="11"/>
  <c r="Q156" i="11"/>
  <c r="P158" i="11"/>
  <c r="Q158" i="11"/>
  <c r="P156" i="11"/>
  <c r="P148" i="11"/>
  <c r="P149" i="11"/>
  <c r="P151" i="11"/>
  <c r="P147" i="11"/>
  <c r="Q148" i="11"/>
  <c r="Q149" i="11"/>
  <c r="Q151" i="11"/>
  <c r="Q147" i="11"/>
  <c r="P161" i="11"/>
  <c r="Q161" i="11"/>
  <c r="D254" i="11"/>
  <c r="F254" i="11"/>
  <c r="B239" i="11"/>
  <c r="C239" i="11"/>
  <c r="D239" i="11"/>
  <c r="F239" i="11"/>
  <c r="M106" i="11"/>
  <c r="Q106" i="11"/>
  <c r="C106" i="11"/>
  <c r="D106" i="11"/>
  <c r="F106" i="11"/>
  <c r="P105" i="11"/>
  <c r="P104" i="11"/>
  <c r="B104" i="11"/>
  <c r="P103" i="11"/>
  <c r="P102" i="11"/>
  <c r="P101" i="11"/>
  <c r="P100" i="11"/>
  <c r="P99" i="11"/>
  <c r="P98" i="11"/>
  <c r="B98" i="11"/>
  <c r="M95" i="11"/>
  <c r="Q95" i="11"/>
  <c r="C95" i="11"/>
  <c r="C143" i="11" s="1"/>
  <c r="D95" i="11"/>
  <c r="D143" i="11" s="1"/>
  <c r="E144" i="11" s="1"/>
  <c r="M144" i="11"/>
  <c r="M159" i="11" s="1"/>
  <c r="F95" i="11"/>
  <c r="F143" i="11" s="1"/>
  <c r="P94" i="11"/>
  <c r="P92" i="11"/>
  <c r="P91" i="11"/>
  <c r="P90" i="11"/>
  <c r="P89" i="11"/>
  <c r="P88" i="11"/>
  <c r="B88" i="11"/>
  <c r="P234" i="11"/>
  <c r="P233" i="11"/>
  <c r="M231" i="11"/>
  <c r="Q231" i="11"/>
  <c r="B231" i="11"/>
  <c r="C231" i="11"/>
  <c r="D231" i="11"/>
  <c r="F231" i="11"/>
  <c r="P230" i="11"/>
  <c r="P229" i="11"/>
  <c r="P228" i="11"/>
  <c r="P205" i="11"/>
  <c r="P210" i="11"/>
  <c r="P211" i="11"/>
  <c r="P209" i="11"/>
  <c r="P208" i="11"/>
  <c r="P204" i="11"/>
  <c r="P207" i="11"/>
  <c r="P206" i="11"/>
  <c r="P203" i="11"/>
  <c r="P202" i="11"/>
  <c r="P201" i="11"/>
  <c r="M178" i="11"/>
  <c r="M179" i="11" s="1"/>
  <c r="Q178" i="11"/>
  <c r="B178" i="11"/>
  <c r="B179" i="11" s="1"/>
  <c r="C178" i="11"/>
  <c r="C179" i="11" s="1"/>
  <c r="D178" i="11"/>
  <c r="D179" i="11" s="1"/>
  <c r="F178" i="11"/>
  <c r="F179" i="11" s="1"/>
  <c r="P177" i="11"/>
  <c r="P176" i="11"/>
  <c r="M172" i="11"/>
  <c r="M173" i="11" s="1"/>
  <c r="Q172" i="11"/>
  <c r="B172" i="11"/>
  <c r="B173" i="11" s="1"/>
  <c r="C172" i="11"/>
  <c r="C173" i="11" s="1"/>
  <c r="D172" i="11"/>
  <c r="D173" i="11" s="1"/>
  <c r="F172" i="11"/>
  <c r="F173" i="11" s="1"/>
  <c r="P171" i="11"/>
  <c r="P170" i="11"/>
  <c r="P169" i="11"/>
  <c r="P168" i="11"/>
  <c r="B167" i="11"/>
  <c r="C167" i="11"/>
  <c r="D167" i="11"/>
  <c r="F167" i="11"/>
  <c r="P193" i="11"/>
  <c r="P198" i="11" s="1"/>
  <c r="P190" i="11"/>
  <c r="P189" i="11"/>
  <c r="P188" i="11"/>
  <c r="P185" i="11"/>
  <c r="P184" i="11"/>
  <c r="P183" i="11"/>
  <c r="P182" i="11"/>
  <c r="Q181" i="11"/>
  <c r="B181" i="11"/>
  <c r="C181" i="11"/>
  <c r="D181" i="11"/>
  <c r="F181" i="11"/>
  <c r="P181" i="11" s="1"/>
  <c r="B161" i="11"/>
  <c r="B158" i="11"/>
  <c r="B156" i="11"/>
  <c r="B151" i="11"/>
  <c r="B148" i="11"/>
  <c r="B147" i="11"/>
  <c r="B145" i="11"/>
  <c r="C145" i="11"/>
  <c r="D145" i="11"/>
  <c r="E146" i="11" s="1"/>
  <c r="M146" i="11"/>
  <c r="F145" i="11"/>
  <c r="M45" i="11"/>
  <c r="M46" i="11" s="1"/>
  <c r="Q45" i="11"/>
  <c r="Q46" i="11" s="1"/>
  <c r="B45" i="11"/>
  <c r="B46" i="11" s="1"/>
  <c r="C45" i="11"/>
  <c r="C46" i="11" s="1"/>
  <c r="D45" i="11"/>
  <c r="D46" i="11" s="1"/>
  <c r="F45" i="11"/>
  <c r="F46" i="11" s="1"/>
  <c r="P44" i="11"/>
  <c r="M41" i="11"/>
  <c r="P41" i="11"/>
  <c r="Q41" i="11"/>
  <c r="B41" i="11"/>
  <c r="C41" i="11"/>
  <c r="D41" i="11"/>
  <c r="F41" i="11"/>
  <c r="M39" i="11"/>
  <c r="Q39" i="11"/>
  <c r="B39" i="11"/>
  <c r="C39" i="11"/>
  <c r="D39" i="11"/>
  <c r="F39" i="11"/>
  <c r="M38" i="11"/>
  <c r="Q38" i="11"/>
  <c r="B38" i="11"/>
  <c r="C38" i="11"/>
  <c r="D38" i="11"/>
  <c r="F38" i="11"/>
  <c r="M36" i="11"/>
  <c r="Q36" i="11"/>
  <c r="B36" i="11"/>
  <c r="C36" i="11"/>
  <c r="D36" i="11"/>
  <c r="F36" i="11"/>
  <c r="P35" i="11"/>
  <c r="M34" i="11"/>
  <c r="P34" i="11"/>
  <c r="Q34" i="11"/>
  <c r="B34" i="11"/>
  <c r="C34" i="11"/>
  <c r="D34" i="11"/>
  <c r="F34" i="11"/>
  <c r="M27" i="11"/>
  <c r="Q27" i="11"/>
  <c r="B27" i="11"/>
  <c r="C27" i="11"/>
  <c r="D27" i="11"/>
  <c r="F27" i="11"/>
  <c r="P26" i="11"/>
  <c r="M23" i="11"/>
  <c r="P23" i="11"/>
  <c r="Q23" i="11"/>
  <c r="B23" i="11"/>
  <c r="C23" i="11"/>
  <c r="D23" i="11"/>
  <c r="F23" i="11"/>
  <c r="B149" i="11"/>
  <c r="C52" i="11"/>
  <c r="D52" i="11"/>
  <c r="M67" i="11"/>
  <c r="M69" i="11" s="1"/>
  <c r="P67" i="11"/>
  <c r="Q67" i="11"/>
  <c r="M56" i="11"/>
  <c r="P56" i="11"/>
  <c r="Q56" i="11"/>
  <c r="B56" i="11"/>
  <c r="C56" i="11"/>
  <c r="D56" i="11"/>
  <c r="F56" i="11"/>
  <c r="M54" i="11"/>
  <c r="P54" i="11"/>
  <c r="Q54" i="11"/>
  <c r="B54" i="11"/>
  <c r="C54" i="11"/>
  <c r="D54" i="11"/>
  <c r="F54" i="11"/>
  <c r="M52" i="11"/>
  <c r="M55" i="11" s="1"/>
  <c r="P52" i="11"/>
  <c r="P55" i="11" s="1"/>
  <c r="Q52" i="11"/>
  <c r="B47" i="11"/>
  <c r="C47" i="11"/>
  <c r="D47" i="11"/>
  <c r="F47" i="11"/>
  <c r="B140" i="11"/>
  <c r="Q139" i="11"/>
  <c r="M134" i="11"/>
  <c r="P134" i="11"/>
  <c r="Q134" i="11"/>
  <c r="P131" i="11"/>
  <c r="P130" i="11"/>
  <c r="M129" i="11"/>
  <c r="M139" i="11" s="1"/>
  <c r="B129" i="11"/>
  <c r="B139" i="11" s="1"/>
  <c r="C129" i="11"/>
  <c r="C139" i="11" s="1"/>
  <c r="D129" i="11"/>
  <c r="D139" i="11" s="1"/>
  <c r="F129" i="11"/>
  <c r="F139" i="11" s="1"/>
  <c r="M117" i="11"/>
  <c r="Q117" i="11"/>
  <c r="B117" i="11"/>
  <c r="C117" i="11"/>
  <c r="D117" i="11"/>
  <c r="F117" i="11"/>
  <c r="P116" i="11"/>
  <c r="P115" i="11"/>
  <c r="P114" i="11"/>
  <c r="P113" i="11"/>
  <c r="P112" i="11"/>
  <c r="M111" i="11"/>
  <c r="M136" i="11" s="1"/>
  <c r="Q111" i="11"/>
  <c r="B111" i="11"/>
  <c r="C111" i="11"/>
  <c r="D111" i="11"/>
  <c r="D136" i="11" s="1"/>
  <c r="E137" i="11" s="1"/>
  <c r="F111" i="11"/>
  <c r="M19" i="11"/>
  <c r="P19" i="11"/>
  <c r="Q19" i="11"/>
  <c r="B18" i="11"/>
  <c r="B19" i="11" s="1"/>
  <c r="C18" i="11"/>
  <c r="C19" i="11" s="1"/>
  <c r="D18" i="11"/>
  <c r="D19" i="11" s="1"/>
  <c r="F18" i="11"/>
  <c r="F19" i="11" s="1"/>
  <c r="P14" i="11"/>
  <c r="P8" i="11"/>
  <c r="M6" i="11"/>
  <c r="Q6" i="11"/>
  <c r="B6" i="11"/>
  <c r="C6" i="11"/>
  <c r="D6" i="11"/>
  <c r="F6" i="11"/>
  <c r="P4" i="11"/>
  <c r="P212" i="11" l="1"/>
  <c r="P216" i="11" s="1"/>
  <c r="S137" i="11"/>
  <c r="Q55" i="11"/>
  <c r="Q173" i="11"/>
  <c r="Q179" i="11"/>
  <c r="T84" i="11"/>
  <c r="Q154" i="11"/>
  <c r="E140" i="11"/>
  <c r="N155" i="11"/>
  <c r="N157" i="11" s="1"/>
  <c r="P39" i="11"/>
  <c r="P6" i="11"/>
  <c r="P69" i="11"/>
  <c r="P36" i="11"/>
  <c r="P154" i="11"/>
  <c r="T61" i="11"/>
  <c r="D144" i="11"/>
  <c r="B69" i="11"/>
  <c r="C146" i="11"/>
  <c r="G146" i="11"/>
  <c r="G164" i="11" s="1"/>
  <c r="F146" i="11"/>
  <c r="E147" i="11"/>
  <c r="E156" i="11"/>
  <c r="E158" i="11"/>
  <c r="E159" i="11"/>
  <c r="E148" i="11"/>
  <c r="E149" i="11"/>
  <c r="E154" i="11"/>
  <c r="E161" i="11"/>
  <c r="E151" i="11"/>
  <c r="E150" i="11"/>
  <c r="E155" i="11"/>
  <c r="G144" i="11"/>
  <c r="G163" i="11" s="1"/>
  <c r="F144" i="11"/>
  <c r="C69" i="11"/>
  <c r="D146" i="11"/>
  <c r="M61" i="11"/>
  <c r="P61" i="11"/>
  <c r="R61" i="11"/>
  <c r="N137" i="11"/>
  <c r="N140" i="11" s="1"/>
  <c r="Q69" i="11"/>
  <c r="R125" i="11"/>
  <c r="F136" i="11"/>
  <c r="M156" i="11"/>
  <c r="M161" i="11"/>
  <c r="M147" i="11"/>
  <c r="M158" i="11"/>
  <c r="M151" i="11"/>
  <c r="N138" i="11"/>
  <c r="M149" i="11"/>
  <c r="M148" i="11"/>
  <c r="R84" i="11"/>
  <c r="M154" i="11"/>
  <c r="R126" i="11"/>
  <c r="R123" i="11"/>
  <c r="R124" i="11"/>
  <c r="R121" i="11"/>
  <c r="R122" i="11"/>
  <c r="N122" i="11"/>
  <c r="F42" i="11"/>
  <c r="N125" i="11"/>
  <c r="N126" i="11"/>
  <c r="N124" i="11"/>
  <c r="N121" i="11"/>
  <c r="R138" i="11"/>
  <c r="C118" i="11"/>
  <c r="C42" i="11"/>
  <c r="B118" i="11"/>
  <c r="D42" i="11"/>
  <c r="B106" i="11"/>
  <c r="Q42" i="11"/>
  <c r="B42" i="11"/>
  <c r="P231" i="11"/>
  <c r="F107" i="11"/>
  <c r="M42" i="11"/>
  <c r="Q107" i="11"/>
  <c r="Q150" i="11"/>
  <c r="Q153" i="11" s="1"/>
  <c r="D118" i="11"/>
  <c r="P129" i="11"/>
  <c r="P139" i="11" s="1"/>
  <c r="M137" i="11"/>
  <c r="F69" i="11"/>
  <c r="D138" i="11"/>
  <c r="M107" i="11"/>
  <c r="D107" i="11"/>
  <c r="C107" i="11"/>
  <c r="P111" i="11"/>
  <c r="B52" i="11"/>
  <c r="B55" i="11" s="1"/>
  <c r="B61" i="11" s="1"/>
  <c r="B95" i="11"/>
  <c r="B143" i="11" s="1"/>
  <c r="M150" i="11"/>
  <c r="Q118" i="11"/>
  <c r="P106" i="11"/>
  <c r="P117" i="11"/>
  <c r="B152" i="11"/>
  <c r="P95" i="11"/>
  <c r="P150" i="11"/>
  <c r="P153" i="11" s="1"/>
  <c r="Q152" i="11"/>
  <c r="P152" i="11"/>
  <c r="P84" i="11"/>
  <c r="M84" i="11"/>
  <c r="C55" i="11"/>
  <c r="C61" i="11" s="1"/>
  <c r="M138" i="11"/>
  <c r="F52" i="11"/>
  <c r="M118" i="11"/>
  <c r="F118" i="11"/>
  <c r="D55" i="11"/>
  <c r="D61" i="11" s="1"/>
  <c r="D83" i="11"/>
  <c r="B154" i="11"/>
  <c r="P172" i="11"/>
  <c r="C136" i="11"/>
  <c r="D137" i="11" s="1"/>
  <c r="C83" i="11"/>
  <c r="B136" i="11"/>
  <c r="P178" i="11"/>
  <c r="Q136" i="11"/>
  <c r="D69" i="11"/>
  <c r="Q83" i="11"/>
  <c r="P45" i="11"/>
  <c r="P46" i="11" s="1"/>
  <c r="P83" i="11"/>
  <c r="M83" i="11"/>
  <c r="P27" i="11"/>
  <c r="P38" i="11"/>
  <c r="P214" i="11" l="1"/>
  <c r="S140" i="11"/>
  <c r="P217" i="11"/>
  <c r="P222" i="11"/>
  <c r="P221" i="11"/>
  <c r="P219" i="11"/>
  <c r="P223" i="11"/>
  <c r="P224" i="11"/>
  <c r="P215" i="11"/>
  <c r="P218" i="11"/>
  <c r="P220" i="11"/>
  <c r="R155" i="11"/>
  <c r="R157" i="11" s="1"/>
  <c r="R160" i="11" s="1"/>
  <c r="R162" i="11" s="1"/>
  <c r="Q84" i="11"/>
  <c r="Q61" i="11"/>
  <c r="Q155" i="11" s="1"/>
  <c r="Q157" i="11" s="1"/>
  <c r="Q160" i="11" s="1"/>
  <c r="Q162" i="11" s="1"/>
  <c r="Q122" i="11"/>
  <c r="R137" i="11"/>
  <c r="P42" i="11"/>
  <c r="P173" i="11"/>
  <c r="E157" i="11"/>
  <c r="E160" i="11" s="1"/>
  <c r="E162" i="11" s="1"/>
  <c r="P179" i="11"/>
  <c r="T155" i="11"/>
  <c r="T157" i="11" s="1"/>
  <c r="T160" i="11" s="1"/>
  <c r="T162" i="11" s="1"/>
  <c r="T63" i="11"/>
  <c r="E153" i="11"/>
  <c r="E152" i="11"/>
  <c r="C144" i="11"/>
  <c r="C159" i="11" s="1"/>
  <c r="F138" i="11"/>
  <c r="G137" i="11"/>
  <c r="I137" i="11" s="1"/>
  <c r="G148" i="11"/>
  <c r="G159" i="11"/>
  <c r="G147" i="11"/>
  <c r="G161" i="11"/>
  <c r="G151" i="11"/>
  <c r="G154" i="11"/>
  <c r="G158" i="11"/>
  <c r="G150" i="11"/>
  <c r="G156" i="11"/>
  <c r="G149" i="11"/>
  <c r="G155" i="11"/>
  <c r="C63" i="11"/>
  <c r="C66" i="11" s="1"/>
  <c r="B63" i="11"/>
  <c r="B66" i="11" s="1"/>
  <c r="B155" i="11"/>
  <c r="B157" i="11" s="1"/>
  <c r="D63" i="11"/>
  <c r="D66" i="11" s="1"/>
  <c r="D155" i="11"/>
  <c r="P63" i="11"/>
  <c r="P66" i="11" s="1"/>
  <c r="P70" i="11" s="1"/>
  <c r="P155" i="11"/>
  <c r="P157" i="11" s="1"/>
  <c r="P160" i="11" s="1"/>
  <c r="P162" i="11" s="1"/>
  <c r="M63" i="11"/>
  <c r="M66" i="11" s="1"/>
  <c r="M155" i="11"/>
  <c r="M157" i="11" s="1"/>
  <c r="R63" i="11"/>
  <c r="T140" i="11"/>
  <c r="D122" i="11"/>
  <c r="D121" i="11"/>
  <c r="D123" i="11"/>
  <c r="D125" i="11"/>
  <c r="D124" i="11"/>
  <c r="C122" i="11"/>
  <c r="C124" i="11"/>
  <c r="C121" i="11"/>
  <c r="C123" i="11"/>
  <c r="C125" i="11"/>
  <c r="D126" i="11"/>
  <c r="B138" i="11"/>
  <c r="C137" i="11"/>
  <c r="C140" i="11" s="1"/>
  <c r="F137" i="11"/>
  <c r="F121" i="11"/>
  <c r="F123" i="11"/>
  <c r="F125" i="11"/>
  <c r="F122" i="11"/>
  <c r="F124" i="11"/>
  <c r="F126" i="11"/>
  <c r="B124" i="11"/>
  <c r="B123" i="11"/>
  <c r="B122" i="11"/>
  <c r="B125" i="11"/>
  <c r="B121" i="11"/>
  <c r="B126" i="11"/>
  <c r="C126" i="11"/>
  <c r="M152" i="11"/>
  <c r="M153" i="11"/>
  <c r="M140" i="11"/>
  <c r="N160" i="11"/>
  <c r="N162" i="11" s="1"/>
  <c r="D154" i="11"/>
  <c r="D159" i="11"/>
  <c r="F156" i="11"/>
  <c r="F159" i="11"/>
  <c r="B84" i="11"/>
  <c r="F148" i="11"/>
  <c r="F158" i="11"/>
  <c r="B107" i="11"/>
  <c r="B150" i="11"/>
  <c r="B153" i="11" s="1"/>
  <c r="B83" i="11"/>
  <c r="F161" i="11"/>
  <c r="F154" i="11"/>
  <c r="F147" i="11"/>
  <c r="F151" i="11"/>
  <c r="D161" i="11"/>
  <c r="F149" i="11"/>
  <c r="P118" i="11"/>
  <c r="D150" i="11"/>
  <c r="D84" i="11"/>
  <c r="C84" i="11"/>
  <c r="D151" i="11"/>
  <c r="D156" i="11"/>
  <c r="Q123" i="11"/>
  <c r="D158" i="11"/>
  <c r="Q124" i="11"/>
  <c r="P136" i="11"/>
  <c r="Q125" i="11"/>
  <c r="Q126" i="11"/>
  <c r="D149" i="11"/>
  <c r="Q121" i="11"/>
  <c r="D147" i="11"/>
  <c r="P107" i="11"/>
  <c r="D148" i="11"/>
  <c r="Q138" i="11"/>
  <c r="F55" i="11"/>
  <c r="F150" i="11"/>
  <c r="C138" i="11"/>
  <c r="D140" i="11"/>
  <c r="M125" i="11"/>
  <c r="M124" i="11"/>
  <c r="M123" i="11"/>
  <c r="M121" i="11"/>
  <c r="M122" i="11"/>
  <c r="M126" i="11"/>
  <c r="F83" i="11"/>
  <c r="P225" i="11" l="1"/>
  <c r="R140" i="11"/>
  <c r="R66" i="11"/>
  <c r="C148" i="11"/>
  <c r="Q63" i="11"/>
  <c r="Q66" i="11" s="1"/>
  <c r="C155" i="11"/>
  <c r="T66" i="11"/>
  <c r="C156" i="11"/>
  <c r="C150" i="11"/>
  <c r="C147" i="11"/>
  <c r="C161" i="11"/>
  <c r="C151" i="11"/>
  <c r="C158" i="11"/>
  <c r="C149" i="11"/>
  <c r="C154" i="11"/>
  <c r="P126" i="11"/>
  <c r="G153" i="11"/>
  <c r="G140" i="11"/>
  <c r="G157" i="11"/>
  <c r="G160" i="11" s="1"/>
  <c r="G162" i="11" s="1"/>
  <c r="G152" i="11"/>
  <c r="D157" i="11"/>
  <c r="F61" i="11"/>
  <c r="P138" i="11"/>
  <c r="Q137" i="11"/>
  <c r="P137" i="11"/>
  <c r="F140" i="11"/>
  <c r="B160" i="11"/>
  <c r="B162" i="11" s="1"/>
  <c r="M160" i="11"/>
  <c r="M162" i="11" s="1"/>
  <c r="P122" i="11"/>
  <c r="F152" i="11"/>
  <c r="P125" i="11"/>
  <c r="P124" i="11"/>
  <c r="P123" i="11"/>
  <c r="P121" i="11"/>
  <c r="D152" i="11"/>
  <c r="F153" i="11"/>
  <c r="D153" i="11"/>
  <c r="F84" i="11"/>
  <c r="T70" i="11" l="1"/>
  <c r="R70" i="11"/>
  <c r="C157" i="11"/>
  <c r="C160" i="11" s="1"/>
  <c r="C162" i="11" s="1"/>
  <c r="Q70" i="11"/>
  <c r="C152" i="11"/>
  <c r="C153" i="11"/>
  <c r="P140" i="11"/>
  <c r="F155" i="11"/>
  <c r="F157" i="11" s="1"/>
  <c r="F160" i="11" s="1"/>
  <c r="F162" i="11" s="1"/>
  <c r="F63" i="11"/>
  <c r="F66" i="11" s="1"/>
  <c r="Q140" i="11"/>
  <c r="D160" i="11"/>
  <c r="D162" i="11" s="1"/>
  <c r="T164" i="11" l="1"/>
  <c r="T163" i="11"/>
  <c r="R164" i="11"/>
  <c r="R163" i="11"/>
  <c r="G45" i="11"/>
  <c r="T45" i="11" l="1"/>
  <c r="F70" i="11" l="1"/>
  <c r="F164" i="11" l="1"/>
  <c r="F163" i="11"/>
  <c r="V117" i="11" l="1"/>
  <c r="AA117" i="11" s="1"/>
  <c r="V6" i="11"/>
  <c r="V118" i="11" l="1"/>
  <c r="AA118" i="11" s="1"/>
  <c r="V126" i="11" l="1"/>
  <c r="V124" i="11"/>
  <c r="V123" i="11"/>
  <c r="V125" i="11"/>
  <c r="V121" i="11"/>
  <c r="V122" i="11"/>
  <c r="H50" i="11" l="1"/>
  <c r="H60" i="11"/>
  <c r="I60" i="11" s="1"/>
  <c r="I50" i="11" l="1"/>
  <c r="H74" i="11" l="1"/>
  <c r="H59" i="11" l="1"/>
  <c r="I59" i="11" s="1"/>
  <c r="H76" i="11"/>
  <c r="H78" i="11"/>
  <c r="X56" i="11" l="1"/>
  <c r="H57" i="11"/>
  <c r="H79" i="11"/>
  <c r="H58" i="11"/>
  <c r="I58" i="11" s="1"/>
  <c r="H53" i="11"/>
  <c r="H104" i="11"/>
  <c r="H77" i="11"/>
  <c r="I57" i="11" l="1"/>
  <c r="H56" i="11"/>
  <c r="H62" i="11"/>
  <c r="H49" i="11"/>
  <c r="X54" i="11"/>
  <c r="H102" i="11"/>
  <c r="I53" i="11"/>
  <c r="H94" i="11"/>
  <c r="H99" i="11" l="1"/>
  <c r="H100" i="11"/>
  <c r="H90" i="11"/>
  <c r="I49" i="11"/>
  <c r="H54" i="11"/>
  <c r="I54" i="11" s="1"/>
  <c r="I56" i="11"/>
  <c r="H98" i="11"/>
  <c r="I62" i="11"/>
  <c r="H75" i="11" l="1"/>
  <c r="H80" i="11" s="1"/>
  <c r="X80" i="11"/>
  <c r="H88" i="11"/>
  <c r="H101" i="11"/>
  <c r="H91" i="11"/>
  <c r="H51" i="11"/>
  <c r="X52" i="11"/>
  <c r="X55" i="11" l="1"/>
  <c r="X83" i="11"/>
  <c r="H52" i="11"/>
  <c r="I51" i="11"/>
  <c r="H89" i="11"/>
  <c r="H55" i="11" l="1"/>
  <c r="I52" i="11"/>
  <c r="H83" i="11"/>
  <c r="H92" i="11"/>
  <c r="H95" i="11" s="1"/>
  <c r="H143" i="11" s="1"/>
  <c r="H144" i="11" s="1"/>
  <c r="X95" i="11"/>
  <c r="X84" i="11"/>
  <c r="X61" i="11"/>
  <c r="H159" i="11" l="1"/>
  <c r="H148" i="11"/>
  <c r="H151" i="11"/>
  <c r="H147" i="11"/>
  <c r="H156" i="11"/>
  <c r="H154" i="11"/>
  <c r="H149" i="11"/>
  <c r="H150" i="11"/>
  <c r="X63" i="11"/>
  <c r="H61" i="11"/>
  <c r="I55" i="11"/>
  <c r="H84" i="11"/>
  <c r="H152" i="11" l="1"/>
  <c r="H153" i="11"/>
  <c r="H63" i="11"/>
  <c r="H155" i="11"/>
  <c r="H157" i="11" s="1"/>
  <c r="I61" i="11"/>
  <c r="I63" i="11" l="1"/>
  <c r="H64" i="11" l="1"/>
  <c r="X66" i="11"/>
  <c r="X70" i="11" l="1"/>
  <c r="I64" i="11"/>
  <c r="H158" i="11"/>
  <c r="H160" i="11" s="1"/>
  <c r="H66" i="11"/>
  <c r="H70" i="11" l="1"/>
  <c r="I66" i="11"/>
  <c r="H163" i="11" l="1"/>
  <c r="I70" i="11"/>
  <c r="H105" i="11" l="1"/>
  <c r="X145" i="11"/>
  <c r="X106" i="11"/>
  <c r="Y146" i="11" l="1"/>
  <c r="X143" i="11"/>
  <c r="X107" i="11"/>
  <c r="X69" i="11"/>
  <c r="X138" i="11"/>
  <c r="X146" i="11"/>
  <c r="H145" i="11"/>
  <c r="H106" i="11"/>
  <c r="H107" i="11" s="1"/>
  <c r="Y164" i="11" l="1"/>
  <c r="AB146" i="11"/>
  <c r="Y140" i="11"/>
  <c r="Y144" i="11"/>
  <c r="X164" i="11"/>
  <c r="X140" i="11"/>
  <c r="H69" i="11"/>
  <c r="I69" i="11" s="1"/>
  <c r="H138" i="11"/>
  <c r="H146" i="11"/>
  <c r="H164" i="11" s="1"/>
  <c r="X144" i="11"/>
  <c r="Y161" i="11" l="1"/>
  <c r="AB144" i="11"/>
  <c r="Y156" i="11"/>
  <c r="Y154" i="11"/>
  <c r="Y147" i="11"/>
  <c r="Y163" i="11"/>
  <c r="Y155" i="11"/>
  <c r="Y148" i="11"/>
  <c r="Y150" i="11"/>
  <c r="Y151" i="11"/>
  <c r="Y149" i="11"/>
  <c r="Y158" i="11"/>
  <c r="Y159" i="11"/>
  <c r="X161" i="11"/>
  <c r="X159" i="11"/>
  <c r="X148" i="11"/>
  <c r="X151" i="11"/>
  <c r="X147" i="11"/>
  <c r="X156" i="11"/>
  <c r="X154" i="11"/>
  <c r="X149" i="11"/>
  <c r="X150" i="11"/>
  <c r="X155" i="11"/>
  <c r="X158" i="11"/>
  <c r="X163" i="11"/>
  <c r="H140" i="11"/>
  <c r="H161" i="11"/>
  <c r="H162" i="11" s="1"/>
  <c r="Y152" i="11" l="1"/>
  <c r="Y153" i="11"/>
  <c r="Y157" i="11"/>
  <c r="Y160" i="11" s="1"/>
  <c r="Y162" i="11" s="1"/>
  <c r="X152" i="11"/>
  <c r="X157" i="11"/>
  <c r="X160" i="11" s="1"/>
  <c r="X162" i="11" s="1"/>
  <c r="X15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W8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X8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Y8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8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S32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T32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32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2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2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2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2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2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T41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U41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V41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W41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X41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Y41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Z41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T42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U42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V42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W42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X42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Y42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Z42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R65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<sst xmlns="http://schemas.openxmlformats.org/spreadsheetml/2006/main" count="346" uniqueCount="244">
  <si>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</si>
  <si>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</si>
  <si>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</si>
  <si>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</si>
  <si>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</si>
  <si>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</si>
  <si>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</si>
  <si>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</si>
  <si>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</si>
  <si>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</si>
  <si>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</si>
  <si>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</si>
  <si>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</si>
  <si>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</si>
  <si>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</si>
  <si>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</si>
  <si>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</si>
  <si>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</si>
  <si>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</si>
  <si>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</si>
  <si>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</si>
  <si>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</si>
  <si>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</si>
  <si>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</si>
  <si>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</si>
  <si>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</si>
  <si>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</si>
  <si>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</si>
  <si>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</si>
  <si>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</si>
  <si>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</si>
  <si>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</si>
  <si>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</si>
  <si>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</si>
  <si>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</si>
  <si>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</si>
  <si>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</si>
  <si>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</si>
  <si>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</si>
  <si>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</si>
  <si>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</si>
  <si>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</si>
  <si>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</si>
  <si>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</si>
  <si>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</si>
  <si>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</si>
  <si>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</si>
  <si>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</si>
  <si>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</si>
  <si>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</si>
  <si>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</si>
  <si>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</si>
  <si>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</si>
  <si>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</si>
  <si>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</si>
  <si>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</si>
  <si>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</si>
  <si>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</si>
  <si>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</si>
  <si>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</si>
  <si>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</si>
  <si>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</si>
  <si>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</si>
  <si>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</si>
  <si>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</si>
  <si>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</si>
  <si>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</si>
  <si>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</si>
  <si>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</si>
  <si>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</si>
  <si>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</si>
  <si>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</si>
  <si>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</si>
  <si>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</si>
  <si>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</si>
  <si>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</si>
  <si>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</si>
  <si>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</si>
  <si>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</si>
  <si>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</si>
  <si>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</si>
  <si>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</si>
  <si>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</si>
  <si>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Assigned Assets/ Gross Loan Assets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</si>
  <si>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</si>
  <si>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</si>
  <si>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</si>
  <si>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</si>
  <si>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</si>
  <si>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</si>
  <si>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</si>
  <si>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</si>
  <si>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</si>
  <si>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</si>
  <si>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</si>
  <si>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</si>
  <si>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</si>
  <si>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</si>
  <si>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</si>
  <si>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</si>
  <si>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</si>
  <si>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</si>
  <si>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</si>
  <si>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</si>
  <si>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</si>
  <si>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</si>
  <si>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</si>
  <si>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</si>
  <si>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</si>
  <si>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</si>
  <si>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</si>
  <si>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</si>
  <si>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</si>
  <si>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</si>
  <si>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</si>
  <si>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</si>
  <si>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</si>
  <si>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</si>
  <si>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</si>
  <si>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</si>
  <si>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</si>
  <si>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</si>
  <si>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</si>
  <si>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</si>
  <si>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</si>
  <si>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</si>
  <si>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</si>
  <si>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</si>
  <si>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</si>
  <si>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</si>
  <si>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</si>
  <si>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</si>
  <si>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</si>
  <si>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</si>
  <si>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</si>
  <si>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</si>
  <si>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</si>
  <si>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Assigned Assets</t>
  </si>
  <si>
    <t>Delinquency Detail</t>
  </si>
  <si>
    <t>Housing Loan / Total</t>
  </si>
  <si>
    <t>New to Credit % of total</t>
  </si>
  <si>
    <t>Capital Adequacy</t>
  </si>
  <si>
    <t>Impairment loss allowance (Total)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</si>
  <si>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</si>
  <si>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</si>
  <si>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</si>
  <si>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</si>
  <si>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</si>
  <si>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</si>
  <si>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</si>
  <si>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</si>
  <si>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</si>
  <si>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</si>
  <si>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</si>
  <si>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</si>
  <si>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</si>
  <si>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</si>
  <si>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</si>
  <si>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</si>
  <si>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</si>
  <si>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</si>
  <si>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</si>
  <si>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</si>
  <si>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AUM by Ticket Size (Rs Mn)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</si>
  <si>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</si>
  <si>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</si>
  <si>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</si>
  <si>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</si>
  <si>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</si>
  <si>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</si>
  <si>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</si>
  <si>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</si>
  <si>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</si>
  <si>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</si>
  <si>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</si>
  <si>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</si>
  <si>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</si>
  <si>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</si>
  <si>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</si>
  <si>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</si>
  <si>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</si>
  <si>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</si>
  <si>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</si>
  <si>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</si>
  <si>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</si>
  <si>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</si>
  <si>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</si>
  <si>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</si>
  <si>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</si>
  <si>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</si>
  <si>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</si>
  <si>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</si>
  <si>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</si>
  <si>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</si>
  <si>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</si>
  <si>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</si>
  <si>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</si>
  <si>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</si>
  <si>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</si>
  <si>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</si>
  <si>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</si>
  <si>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</si>
  <si>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</si>
  <si>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</si>
  <si>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</si>
  <si>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</si>
  <si>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</si>
  <si>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</si>
  <si>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</si>
  <si>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</si>
  <si>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</si>
  <si>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</si>
  <si>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</si>
  <si>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</si>
  <si>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</si>
  <si>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</si>
  <si>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</si>
  <si>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</si>
  <si>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</si>
  <si>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</si>
  <si>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</si>
  <si>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</si>
  <si>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</si>
  <si>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</si>
  <si>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</si>
  <si>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</si>
  <si>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</si>
  <si>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</si>
  <si>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Off-Book: Direct Assignment &amp; Co-lending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</si>
  <si>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</si>
  <si>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</si>
  <si>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</si>
  <si>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</si>
  <si>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</si>
  <si>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</si>
  <si>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</si>
  <si>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</si>
  <si>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Co-Lending drawn-down during the period</t>
  </si>
  <si>
    <t>Deferred tax assets (net)</t>
  </si>
  <si>
    <t>Q1FY24</t>
  </si>
  <si>
    <t>DPD 90+ (Pre-RBI Classification)</t>
  </si>
  <si>
    <t>DPD 90+/POS</t>
  </si>
  <si>
    <t>Q2FY24</t>
  </si>
  <si>
    <t>Direct Assignment &amp; Co-Lending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</si>
</sst>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G292"/>
  <sheetViews>
    <sheetView tabSelected="1" zoomScaleNormal="100" workbookViewId="0">
      <pane xSplit="1" ySplit="1" topLeftCell="J87" activePane="bottomRight" state="frozen"/>
      <selection pane="topRight" activeCell="B1" sqref="B1"/>
      <selection pane="bottomLeft" activeCell="A2" sqref="A2"/>
      <selection pane="bottomRight" activeCell="T104" sqref="T104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9" width="8" style="3" bestFit="1" customWidth="1"/>
    <col min="10" max="12" width="1.7265625" style="1" customWidth="1"/>
    <col min="13" max="14" width="9" style="3" bestFit="1" customWidth="1"/>
    <col min="15" max="15" width="8.453125" style="39" bestFit="1" customWidth="1"/>
    <col min="16" max="16" width="8.453125" style="3" bestFit="1" customWidth="1"/>
    <col min="17" max="17" width="10.453125" style="3" bestFit="1" customWidth="1"/>
    <col min="18" max="20" width="10.453125" style="39" bestFit="1" customWidth="1"/>
    <col min="21" max="26" width="10.54296875" style="39" bestFit="1" customWidth="1"/>
    <col min="27" max="27" width="11.54296875" style="67" bestFit="1" customWidth="1"/>
    <col min="28" max="28" width="9.453125" style="67" bestFit="1" customWidth="1"/>
    <col min="29" max="29" width="2" style="67" customWidth="1"/>
    <col min="30" max="30" width="20" style="1" bestFit="1" customWidth="1"/>
    <col min="31" max="31" width="11.453125" style="1" bestFit="1" customWidth="1"/>
    <col min="32" max="16384" width="8.81640625" style="1"/>
  </cols>
  <sheetData>
    <row r="1" spans="1:33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215</v>
      </c>
      <c r="H1" s="6" t="s">
        <v>235</v>
      </c>
      <c r="I1" s="6" t="s">
        <v>209</v>
      </c>
      <c r="M1" s="6" t="s">
        <v>38</v>
      </c>
      <c r="N1" s="6" t="s">
        <v>39</v>
      </c>
      <c r="O1" s="80" t="s">
        <v>40</v>
      </c>
      <c r="P1" s="6" t="s">
        <v>74</v>
      </c>
      <c r="Q1" s="6" t="s">
        <v>190</v>
      </c>
      <c r="R1" s="80" t="s">
        <v>195</v>
      </c>
      <c r="S1" s="80" t="s">
        <v>208</v>
      </c>
      <c r="T1" s="80" t="s">
        <v>216</v>
      </c>
      <c r="U1" s="80" t="s">
        <v>227</v>
      </c>
      <c r="V1" s="80" t="s">
        <v>231</v>
      </c>
      <c r="W1" s="80" t="s">
        <v>232</v>
      </c>
      <c r="X1" s="80" t="s">
        <v>234</v>
      </c>
      <c r="Y1" s="80" t="s">
        <v>239</v>
      </c>
      <c r="Z1" s="80" t="s">
        <v>242</v>
      </c>
      <c r="AA1" s="66" t="s">
        <v>207</v>
      </c>
      <c r="AB1" s="66" t="s">
        <v>206</v>
      </c>
      <c r="AC1" s="66"/>
    </row>
    <row r="2" spans="1:33" s="5" customFormat="1" x14ac:dyDescent="0.35">
      <c r="A2" s="5" t="s">
        <v>193</v>
      </c>
      <c r="B2" s="6"/>
      <c r="C2" s="6"/>
      <c r="D2" s="6"/>
      <c r="E2" s="6"/>
      <c r="F2" s="6"/>
      <c r="G2" s="6"/>
      <c r="H2" s="6"/>
      <c r="I2" s="6"/>
      <c r="M2" s="6"/>
      <c r="N2" s="6"/>
      <c r="O2" s="80"/>
      <c r="P2" s="6"/>
      <c r="Q2" s="6"/>
      <c r="R2" s="80"/>
      <c r="S2" s="80"/>
      <c r="T2" s="80"/>
      <c r="U2" s="80"/>
      <c r="V2" s="80"/>
      <c r="W2" s="80"/>
      <c r="X2" s="80"/>
      <c r="Y2" s="80"/>
      <c r="Z2" s="80"/>
      <c r="AA2" s="66"/>
      <c r="AB2" s="66"/>
      <c r="AC2" s="66"/>
    </row>
    <row r="3" spans="1:33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T3</f>
        <v>53803.35</v>
      </c>
      <c r="H3" s="26">
        <f>X3</f>
        <v>71979.679999999993</v>
      </c>
      <c r="I3" s="30">
        <f>H3/G3-1</f>
        <v>0.33782896418159836</v>
      </c>
      <c r="M3" s="26">
        <v>36225.129999999997</v>
      </c>
      <c r="N3" s="26">
        <v>37300.120000000003</v>
      </c>
      <c r="O3" s="26">
        <v>39406.466114549992</v>
      </c>
      <c r="P3" s="26">
        <v>41410.720000000001</v>
      </c>
      <c r="Q3" s="26">
        <v>42942.68</v>
      </c>
      <c r="R3" s="26">
        <v>46170.28</v>
      </c>
      <c r="S3" s="26">
        <v>49940.480000000003</v>
      </c>
      <c r="T3" s="26">
        <v>53803.35</v>
      </c>
      <c r="U3" s="26">
        <v>58318.83</v>
      </c>
      <c r="V3" s="26">
        <v>62754.37</v>
      </c>
      <c r="W3" s="26">
        <v>67511.78</v>
      </c>
      <c r="X3" s="26">
        <v>71979.679999999993</v>
      </c>
      <c r="Y3" s="26">
        <v>77758.92</v>
      </c>
      <c r="Z3" s="26">
        <v>83654.45</v>
      </c>
      <c r="AA3" s="69">
        <f>IFERROR(Z3/V3-1,"")</f>
        <v>0.33304581019616641</v>
      </c>
      <c r="AB3" s="69">
        <f>IFERROR(Z3/Y3-1,"")</f>
        <v>7.5818054057335216E-2</v>
      </c>
      <c r="AC3" s="69"/>
    </row>
    <row r="4" spans="1:33" x14ac:dyDescent="0.35">
      <c r="A4" s="1" t="s">
        <v>137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T4</f>
        <v>10251.59</v>
      </c>
      <c r="H4" s="26">
        <f t="shared" ref="H4:H5" si="0">X4</f>
        <v>11420.98</v>
      </c>
      <c r="I4" s="30">
        <f t="shared" ref="I4:I5" si="1">H4/G4-1</f>
        <v>0.11406913464155322</v>
      </c>
      <c r="M4" s="26">
        <v>7501.27</v>
      </c>
      <c r="N4" s="26">
        <v>7175.2</v>
      </c>
      <c r="O4" s="26">
        <v>6882.5057435312592</v>
      </c>
      <c r="P4" s="26">
        <f>F4</f>
        <v>7655.86</v>
      </c>
      <c r="Q4" s="26">
        <v>8487.92</v>
      </c>
      <c r="R4" s="26">
        <v>9285.1</v>
      </c>
      <c r="S4" s="26">
        <v>9914.15</v>
      </c>
      <c r="T4" s="26">
        <v>10251.59</v>
      </c>
      <c r="U4" s="26">
        <v>10584.06</v>
      </c>
      <c r="V4" s="26">
        <v>10740.71</v>
      </c>
      <c r="W4" s="26">
        <v>10995.27</v>
      </c>
      <c r="X4" s="26">
        <v>11420.98</v>
      </c>
      <c r="Y4" s="26">
        <v>11951.71</v>
      </c>
      <c r="Z4" s="26">
        <v>12774.5</v>
      </c>
      <c r="AA4" s="69">
        <f t="shared" ref="AA4:AA5" si="2">IFERROR(Z4/V4-1,"")</f>
        <v>0.18935340401146683</v>
      </c>
      <c r="AB4" s="69">
        <f t="shared" ref="AB4:AB5" si="3">IFERROR(Z4/Y4-1,"")</f>
        <v>6.8842868510029076E-2</v>
      </c>
      <c r="AC4" s="69"/>
    </row>
    <row r="5" spans="1:33" s="2" customFormat="1" x14ac:dyDescent="0.35">
      <c r="A5" s="2" t="s">
        <v>76</v>
      </c>
      <c r="B5" s="27">
        <v>7928.97</v>
      </c>
      <c r="C5" s="27">
        <v>13144.09</v>
      </c>
      <c r="D5" s="27">
        <v>21466.74</v>
      </c>
      <c r="E5" s="27">
        <v>30406.600000000006</v>
      </c>
      <c r="F5" s="98">
        <v>33717.980000000003</v>
      </c>
      <c r="G5" s="35">
        <f>T5</f>
        <v>43515.16</v>
      </c>
      <c r="H5" s="35">
        <f t="shared" si="0"/>
        <v>60521.220000000008</v>
      </c>
      <c r="I5" s="30">
        <f t="shared" si="1"/>
        <v>0.39080770931326003</v>
      </c>
      <c r="M5" s="27">
        <v>29000.59</v>
      </c>
      <c r="N5" s="27">
        <v>30120.57</v>
      </c>
      <c r="O5" s="27">
        <v>32519.565761586546</v>
      </c>
      <c r="P5" s="27">
        <v>33717.980000000003</v>
      </c>
      <c r="Q5" s="27">
        <v>34411.030000000013</v>
      </c>
      <c r="R5" s="27">
        <v>36858.879999999997</v>
      </c>
      <c r="S5" s="27">
        <v>40004.019999999997</v>
      </c>
      <c r="T5" s="98">
        <v>43515.16</v>
      </c>
      <c r="U5" s="98">
        <v>47677.66</v>
      </c>
      <c r="V5" s="98">
        <v>51950.879999999997</v>
      </c>
      <c r="W5" s="98">
        <v>56481</v>
      </c>
      <c r="X5" s="98">
        <v>60521.220000000008</v>
      </c>
      <c r="Y5" s="98">
        <v>65793.959999999992</v>
      </c>
      <c r="Z5" s="98">
        <v>70884.98</v>
      </c>
      <c r="AA5" s="69">
        <f t="shared" si="2"/>
        <v>0.36446158371138271</v>
      </c>
      <c r="AB5" s="69">
        <f t="shared" si="3"/>
        <v>7.7378227423915646E-2</v>
      </c>
      <c r="AC5" s="69"/>
      <c r="AD5" s="1"/>
    </row>
    <row r="6" spans="1:33" s="8" customFormat="1" x14ac:dyDescent="0.35">
      <c r="A6" s="8" t="s">
        <v>83</v>
      </c>
      <c r="B6" s="28">
        <f t="shared" ref="B6:G6" si="4">B4/B3</f>
        <v>6.4016258397103315E-2</v>
      </c>
      <c r="C6" s="28">
        <f t="shared" si="4"/>
        <v>2.7628229144234372E-2</v>
      </c>
      <c r="D6" s="28">
        <f t="shared" si="4"/>
        <v>0.11952369766579608</v>
      </c>
      <c r="E6" s="28">
        <f t="shared" si="4"/>
        <v>0.15921301363048451</v>
      </c>
      <c r="F6" s="28">
        <f t="shared" si="4"/>
        <v>0.18487628324259997</v>
      </c>
      <c r="G6" s="28">
        <f t="shared" si="4"/>
        <v>0.19053813563653565</v>
      </c>
      <c r="H6" s="28">
        <f t="shared" ref="H6" si="5">H4/H3</f>
        <v>0.15866950228175508</v>
      </c>
      <c r="I6" s="28"/>
      <c r="M6" s="28">
        <f t="shared" ref="M6:T6" si="6">M4/M3</f>
        <v>0.20707365301380565</v>
      </c>
      <c r="N6" s="28">
        <f t="shared" si="6"/>
        <v>0.19236399239466251</v>
      </c>
      <c r="O6" s="37">
        <f t="shared" si="6"/>
        <v>0.17465422358667279</v>
      </c>
      <c r="P6" s="28">
        <f t="shared" si="6"/>
        <v>0.18487628324259997</v>
      </c>
      <c r="Q6" s="28">
        <f t="shared" si="6"/>
        <v>0.19765696970938934</v>
      </c>
      <c r="R6" s="37">
        <f t="shared" si="6"/>
        <v>0.20110555968038316</v>
      </c>
      <c r="S6" s="37">
        <f>S4/S3</f>
        <v>0.1985193173954275</v>
      </c>
      <c r="T6" s="37">
        <f t="shared" si="6"/>
        <v>0.19053813563653565</v>
      </c>
      <c r="U6" s="37">
        <f t="shared" ref="U6:V6" si="7">U4/U3</f>
        <v>0.18148615121393896</v>
      </c>
      <c r="V6" s="37">
        <f t="shared" si="7"/>
        <v>0.17115477376316579</v>
      </c>
      <c r="W6" s="37">
        <f>W4/W3</f>
        <v>0.16286446602355917</v>
      </c>
      <c r="X6" s="37">
        <f>X4/X3</f>
        <v>0.15866950228175508</v>
      </c>
      <c r="Y6" s="37">
        <f>Y4/Y3</f>
        <v>0.1537021090313497</v>
      </c>
      <c r="Z6" s="37">
        <f>Z4/Z3</f>
        <v>0.15270556437822494</v>
      </c>
      <c r="AA6" s="62"/>
      <c r="AB6" s="63"/>
      <c r="AC6" s="63"/>
    </row>
    <row r="7" spans="1:33" x14ac:dyDescent="0.35">
      <c r="G7" s="16"/>
      <c r="H7" s="16"/>
      <c r="O7" s="3"/>
      <c r="R7" s="3"/>
      <c r="S7" s="3"/>
      <c r="T7" s="3"/>
      <c r="U7" s="3"/>
      <c r="V7" s="3"/>
      <c r="W7" s="3"/>
      <c r="X7" s="3"/>
      <c r="Y7" s="3"/>
      <c r="Z7" s="3"/>
    </row>
    <row r="8" spans="1:33" x14ac:dyDescent="0.35">
      <c r="A8" s="1" t="s">
        <v>5</v>
      </c>
      <c r="B8" s="29">
        <v>1.02</v>
      </c>
      <c r="C8" s="29">
        <v>1.01</v>
      </c>
      <c r="D8" s="29">
        <v>1.01</v>
      </c>
      <c r="E8" s="29">
        <v>1</v>
      </c>
      <c r="F8" s="29">
        <v>1.01</v>
      </c>
      <c r="G8" s="29">
        <f>T8</f>
        <v>1.05</v>
      </c>
      <c r="H8" s="29">
        <f>X8</f>
        <v>1.1100000000000001</v>
      </c>
      <c r="I8" s="30">
        <f>H8/G8-1</f>
        <v>5.7142857142857162E-2</v>
      </c>
      <c r="M8" s="29">
        <v>1</v>
      </c>
      <c r="N8" s="29">
        <v>1.01</v>
      </c>
      <c r="O8" s="29">
        <v>1.0052942618539171</v>
      </c>
      <c r="P8" s="29">
        <f>F8</f>
        <v>1.01</v>
      </c>
      <c r="Q8" s="29">
        <v>1.01</v>
      </c>
      <c r="R8" s="29">
        <v>1.02</v>
      </c>
      <c r="S8" s="29">
        <v>1.04</v>
      </c>
      <c r="T8" s="29">
        <v>1.05</v>
      </c>
      <c r="U8" s="29">
        <v>1.07</v>
      </c>
      <c r="V8" s="29">
        <v>1.0900000000000001</v>
      </c>
      <c r="W8" s="29">
        <v>1.0960000000000001</v>
      </c>
      <c r="X8" s="29">
        <v>1.1100000000000001</v>
      </c>
      <c r="Y8" s="29">
        <v>1.1200000000000001</v>
      </c>
      <c r="Z8" s="29">
        <v>1.1299999999999999</v>
      </c>
      <c r="AA8" s="68"/>
    </row>
    <row r="9" spans="1:33" x14ac:dyDescent="0.35">
      <c r="AA9" s="69"/>
    </row>
    <row r="10" spans="1:33" x14ac:dyDescent="0.35">
      <c r="A10" s="25" t="s">
        <v>236</v>
      </c>
      <c r="B10" s="26">
        <v>0</v>
      </c>
      <c r="C10" s="26">
        <v>0</v>
      </c>
      <c r="D10" s="26">
        <v>2756</v>
      </c>
      <c r="E10" s="26">
        <v>3574</v>
      </c>
      <c r="F10" s="26">
        <v>3003</v>
      </c>
      <c r="G10" s="26">
        <f>SUM(Q10:T10)</f>
        <v>4646.2</v>
      </c>
      <c r="H10" s="26">
        <f>SUM(U10:X10)</f>
        <v>2892.64</v>
      </c>
      <c r="I10" s="30">
        <f>H10/G10-1</f>
        <v>-0.3774181051181611</v>
      </c>
      <c r="M10" s="26">
        <v>1844</v>
      </c>
      <c r="N10" s="26">
        <v>0</v>
      </c>
      <c r="O10" s="29">
        <v>0</v>
      </c>
      <c r="P10" s="26">
        <v>1159</v>
      </c>
      <c r="Q10" s="26">
        <v>1183.3</v>
      </c>
      <c r="R10" s="26">
        <v>1273</v>
      </c>
      <c r="S10" s="26">
        <v>1140.2</v>
      </c>
      <c r="T10" s="26">
        <v>1049.7</v>
      </c>
      <c r="U10" s="35">
        <v>802.4</v>
      </c>
      <c r="V10" s="35">
        <v>691.09</v>
      </c>
      <c r="W10" s="35">
        <v>593.21</v>
      </c>
      <c r="X10" s="35">
        <v>805.94</v>
      </c>
      <c r="Y10" s="35">
        <v>793.18</v>
      </c>
      <c r="Z10" s="35">
        <v>969.2</v>
      </c>
      <c r="AA10"/>
      <c r="AB10" s="69"/>
      <c r="AC10" s="69"/>
      <c r="AD10" s="111"/>
    </row>
    <row r="11" spans="1:33" x14ac:dyDescent="0.35">
      <c r="A11" s="25" t="s">
        <v>237</v>
      </c>
      <c r="B11" s="26"/>
      <c r="C11" s="26"/>
      <c r="D11" s="26"/>
      <c r="E11" s="26"/>
      <c r="F11" s="26"/>
      <c r="G11" s="26"/>
      <c r="H11" s="26">
        <f>SUM(U11:X11)</f>
        <v>890.85000000000014</v>
      </c>
      <c r="I11" s="30" t="str">
        <f>IFERROR(H11/G11-1,"")</f>
        <v/>
      </c>
      <c r="M11" s="26"/>
      <c r="N11" s="26"/>
      <c r="O11" s="29"/>
      <c r="P11" s="26"/>
      <c r="Q11" s="26"/>
      <c r="R11" s="26"/>
      <c r="S11" s="26"/>
      <c r="T11" s="26"/>
      <c r="U11" s="35">
        <v>76.709999999999994</v>
      </c>
      <c r="V11" s="35">
        <v>165.84</v>
      </c>
      <c r="W11" s="35">
        <v>300.64</v>
      </c>
      <c r="X11" s="35">
        <v>347.66</v>
      </c>
      <c r="Y11" s="35">
        <v>350.27</v>
      </c>
      <c r="Z11" s="35">
        <v>502.39</v>
      </c>
      <c r="AA11"/>
      <c r="AB11" s="69"/>
      <c r="AC11" s="69"/>
      <c r="AD11" s="111"/>
      <c r="AE11" s="111"/>
      <c r="AF11" s="111"/>
      <c r="AG11" s="111"/>
    </row>
    <row r="12" spans="1:33" x14ac:dyDescent="0.35">
      <c r="V12" s="67"/>
      <c r="W12" s="67"/>
      <c r="X12" s="67"/>
      <c r="Y12" s="67"/>
      <c r="Z12" s="67"/>
      <c r="AE12" s="116"/>
    </row>
    <row r="13" spans="1:33" x14ac:dyDescent="0.35">
      <c r="A13" s="1" t="s">
        <v>77</v>
      </c>
      <c r="B13" s="26">
        <v>4243.57</v>
      </c>
      <c r="C13" s="26">
        <v>7455.29</v>
      </c>
      <c r="D13" s="26">
        <v>15728.21</v>
      </c>
      <c r="E13" s="26">
        <v>16182.88</v>
      </c>
      <c r="F13" s="26">
        <v>10966.13</v>
      </c>
      <c r="G13" s="26">
        <f>SUM(Q13:T13)</f>
        <v>20305.298867000001</v>
      </c>
      <c r="H13" s="26">
        <f>SUM(U13:X13)</f>
        <v>30129.120000000003</v>
      </c>
      <c r="I13" s="30">
        <f t="shared" ref="I13:I14" si="8">H13/G13-1</f>
        <v>0.48380578869319635</v>
      </c>
      <c r="M13" s="26">
        <v>528.07000000000005</v>
      </c>
      <c r="N13" s="26">
        <v>2431.41</v>
      </c>
      <c r="O13" s="26">
        <v>3488.2687700000006</v>
      </c>
      <c r="P13" s="26">
        <v>4518.3900000000003</v>
      </c>
      <c r="Q13" s="26">
        <v>3046.26</v>
      </c>
      <c r="R13" s="26">
        <v>5151.66</v>
      </c>
      <c r="S13" s="26">
        <v>5696.2588670000005</v>
      </c>
      <c r="T13" s="26">
        <v>6411.12</v>
      </c>
      <c r="U13" s="26">
        <v>6611.89</v>
      </c>
      <c r="V13" s="26">
        <v>7021.59</v>
      </c>
      <c r="W13" s="26">
        <v>7804.42</v>
      </c>
      <c r="X13" s="26">
        <v>8691.2199999999993</v>
      </c>
      <c r="Y13" s="26">
        <v>8951.51</v>
      </c>
      <c r="Z13" s="26">
        <v>9591.49</v>
      </c>
      <c r="AA13" s="69">
        <f t="shared" ref="AA13:AA14" si="9">IFERROR(Z13/V13-1,"")</f>
        <v>0.36599972370930223</v>
      </c>
      <c r="AB13" s="69">
        <f t="shared" ref="AB13:AB14" si="10">IFERROR(Z13/Y13-1,"")</f>
        <v>7.149408312117167E-2</v>
      </c>
      <c r="AC13" s="69"/>
      <c r="AD13" s="117"/>
      <c r="AE13" s="118"/>
    </row>
    <row r="14" spans="1:33" x14ac:dyDescent="0.35">
      <c r="A14" s="1" t="s">
        <v>78</v>
      </c>
      <c r="B14" s="26">
        <v>9747</v>
      </c>
      <c r="C14" s="26">
        <v>15723</v>
      </c>
      <c r="D14" s="26">
        <v>29372</v>
      </c>
      <c r="E14" s="26">
        <v>43094</v>
      </c>
      <c r="F14" s="26">
        <v>50417</v>
      </c>
      <c r="G14" s="26">
        <f>T14</f>
        <v>62055</v>
      </c>
      <c r="H14" s="26">
        <f>X14</f>
        <v>77927</v>
      </c>
      <c r="I14" s="30">
        <f t="shared" si="8"/>
        <v>0.25577310450406898</v>
      </c>
      <c r="M14" s="26">
        <v>43205</v>
      </c>
      <c r="N14" s="26">
        <v>44796</v>
      </c>
      <c r="O14" s="26">
        <v>47440</v>
      </c>
      <c r="P14" s="26">
        <f>F14</f>
        <v>50417</v>
      </c>
      <c r="Q14" s="26">
        <v>52042</v>
      </c>
      <c r="R14" s="26">
        <v>55243</v>
      </c>
      <c r="S14" s="26">
        <v>58615</v>
      </c>
      <c r="T14" s="26">
        <v>62055</v>
      </c>
      <c r="U14" s="26">
        <v>65638</v>
      </c>
      <c r="V14" s="26">
        <v>69395</v>
      </c>
      <c r="W14" s="26">
        <v>73551</v>
      </c>
      <c r="X14" s="26">
        <v>77927</v>
      </c>
      <c r="Y14" s="26">
        <v>82266</v>
      </c>
      <c r="Z14" s="26">
        <v>86542</v>
      </c>
      <c r="AA14" s="69">
        <f t="shared" si="9"/>
        <v>0.24709273002377685</v>
      </c>
      <c r="AB14" s="69">
        <f t="shared" si="10"/>
        <v>5.1977730775776054E-2</v>
      </c>
      <c r="AC14" s="69"/>
    </row>
    <row r="15" spans="1:33" x14ac:dyDescent="0.35">
      <c r="M15" s="11"/>
      <c r="N15" s="11"/>
      <c r="O15" s="81"/>
      <c r="P15" s="11"/>
      <c r="Q15" s="11"/>
      <c r="R15" s="81"/>
      <c r="S15" s="81"/>
      <c r="T15" s="81"/>
      <c r="U15" s="81"/>
      <c r="V15" s="81"/>
      <c r="W15" s="81"/>
      <c r="X15" s="81"/>
      <c r="Y15" s="81"/>
      <c r="Z15" s="81"/>
    </row>
    <row r="16" spans="1:33" s="2" customFormat="1" x14ac:dyDescent="0.35">
      <c r="A16" s="2" t="s">
        <v>145</v>
      </c>
      <c r="B16" s="4"/>
      <c r="C16" s="4"/>
      <c r="D16" s="4"/>
      <c r="E16" s="4"/>
      <c r="F16" s="4"/>
      <c r="G16" s="4"/>
      <c r="H16" s="4"/>
      <c r="I16" s="4"/>
      <c r="M16" s="53"/>
      <c r="N16" s="53"/>
      <c r="O16" s="34"/>
      <c r="P16" s="53"/>
      <c r="Q16" s="53"/>
      <c r="R16" s="34"/>
      <c r="S16" s="34"/>
      <c r="T16" s="34"/>
      <c r="U16" s="34"/>
      <c r="V16" s="34"/>
      <c r="W16" s="34"/>
      <c r="X16" s="34"/>
      <c r="Y16" s="34"/>
      <c r="Z16" s="34"/>
      <c r="AA16" s="70"/>
      <c r="AB16" s="70"/>
      <c r="AC16" s="70"/>
    </row>
    <row r="17" spans="1:31" x14ac:dyDescent="0.35">
      <c r="A17" s="1" t="s">
        <v>144</v>
      </c>
      <c r="B17" s="30">
        <v>0.13200000000000001</v>
      </c>
      <c r="C17" s="30">
        <v>0.126</v>
      </c>
      <c r="D17" s="30">
        <v>0.123</v>
      </c>
      <c r="E17" s="30">
        <v>0.129</v>
      </c>
      <c r="F17" s="30">
        <v>0.13</v>
      </c>
      <c r="G17" s="30">
        <v>0.12770000000000001</v>
      </c>
      <c r="H17" s="30">
        <v>0.1308</v>
      </c>
      <c r="I17" s="30"/>
      <c r="M17" s="30">
        <v>0.1305</v>
      </c>
      <c r="N17" s="30">
        <v>0.1305</v>
      </c>
      <c r="O17" s="30">
        <v>0.13009999999999999</v>
      </c>
      <c r="P17" s="30">
        <v>0.12809999999999999</v>
      </c>
      <c r="Q17" s="30">
        <v>0.12740000000000001</v>
      </c>
      <c r="R17" s="30">
        <v>0.12759999999999999</v>
      </c>
      <c r="S17" s="30">
        <v>0.128</v>
      </c>
      <c r="T17" s="30">
        <v>0.12770000000000001</v>
      </c>
      <c r="U17" s="30">
        <v>0.12740000000000001</v>
      </c>
      <c r="V17" s="30">
        <v>0.12977338528662619</v>
      </c>
      <c r="W17" s="30">
        <v>0.13139999999999999</v>
      </c>
      <c r="X17" s="30">
        <v>0.13389999999999999</v>
      </c>
      <c r="Y17" s="30">
        <v>0.1368</v>
      </c>
      <c r="Z17" s="30">
        <v>0.13616</v>
      </c>
    </row>
    <row r="18" spans="1:31" x14ac:dyDescent="0.35">
      <c r="A18" s="1" t="s">
        <v>149</v>
      </c>
      <c r="B18" s="30">
        <f>B134</f>
        <v>0.10199999999999999</v>
      </c>
      <c r="C18" s="30">
        <f>C134</f>
        <v>8.7999999999999995E-2</v>
      </c>
      <c r="D18" s="30">
        <f>D134</f>
        <v>8.4000000000000005E-2</v>
      </c>
      <c r="E18" s="30">
        <f>E134</f>
        <v>8.7999999999999995E-2</v>
      </c>
      <c r="F18" s="30">
        <f>F134</f>
        <v>0.08</v>
      </c>
      <c r="G18" s="30">
        <v>7.1499999999999994E-2</v>
      </c>
      <c r="H18" s="30">
        <v>7.3800000000000004E-2</v>
      </c>
      <c r="I18" s="30"/>
      <c r="M18" s="30">
        <v>8.5000000000000006E-2</v>
      </c>
      <c r="N18" s="30">
        <v>8.2699999999999996E-2</v>
      </c>
      <c r="O18" s="30">
        <v>8.0299999999999996E-2</v>
      </c>
      <c r="P18" s="30">
        <v>7.4200000000000002E-2</v>
      </c>
      <c r="Q18" s="30">
        <v>7.17E-2</v>
      </c>
      <c r="R18" s="30">
        <v>7.1300000000000002E-2</v>
      </c>
      <c r="S18" s="30">
        <v>7.1599999999999997E-2</v>
      </c>
      <c r="T18" s="30">
        <v>7.1499999999999994E-2</v>
      </c>
      <c r="U18" s="30">
        <v>6.93E-2</v>
      </c>
      <c r="V18" s="30">
        <v>7.1326876000869593E-2</v>
      </c>
      <c r="W18" s="30">
        <v>7.4300000000000005E-2</v>
      </c>
      <c r="X18" s="30">
        <v>7.8899999999999998E-2</v>
      </c>
      <c r="Y18" s="30">
        <v>8.0100000000000005E-2</v>
      </c>
      <c r="Z18" s="30">
        <v>8.0750000000000002E-2</v>
      </c>
    </row>
    <row r="19" spans="1:31" x14ac:dyDescent="0.35">
      <c r="A19" s="1" t="s">
        <v>1</v>
      </c>
      <c r="B19" s="45">
        <f t="shared" ref="B19:G19" si="11">B17-B18</f>
        <v>3.0000000000000013E-2</v>
      </c>
      <c r="C19" s="45">
        <f t="shared" si="11"/>
        <v>3.8000000000000006E-2</v>
      </c>
      <c r="D19" s="45">
        <f t="shared" si="11"/>
        <v>3.8999999999999993E-2</v>
      </c>
      <c r="E19" s="45">
        <f t="shared" si="11"/>
        <v>4.1000000000000009E-2</v>
      </c>
      <c r="F19" s="45">
        <f t="shared" si="11"/>
        <v>0.05</v>
      </c>
      <c r="G19" s="45">
        <f t="shared" si="11"/>
        <v>5.6200000000000014E-2</v>
      </c>
      <c r="H19" s="45">
        <f>H17-H18</f>
        <v>5.6999999999999995E-2</v>
      </c>
      <c r="I19" s="45"/>
      <c r="M19" s="45">
        <f t="shared" ref="M19:T19" si="12">M17-M18</f>
        <v>4.5499999999999999E-2</v>
      </c>
      <c r="N19" s="45">
        <f t="shared" si="12"/>
        <v>4.7800000000000009E-2</v>
      </c>
      <c r="O19" s="45">
        <f t="shared" si="12"/>
        <v>4.9799999999999997E-2</v>
      </c>
      <c r="P19" s="45">
        <f t="shared" si="12"/>
        <v>5.389999999999999E-2</v>
      </c>
      <c r="Q19" s="45">
        <f t="shared" si="12"/>
        <v>5.5700000000000013E-2</v>
      </c>
      <c r="R19" s="45">
        <f t="shared" si="12"/>
        <v>5.6299999999999989E-2</v>
      </c>
      <c r="S19" s="45">
        <f>S17-S18</f>
        <v>5.6400000000000006E-2</v>
      </c>
      <c r="T19" s="45">
        <f t="shared" si="12"/>
        <v>5.6200000000000014E-2</v>
      </c>
      <c r="U19" s="45">
        <f t="shared" ref="U19" si="13">U17-U18</f>
        <v>5.8100000000000013E-2</v>
      </c>
      <c r="V19" s="45">
        <f>V17-V18</f>
        <v>5.8446509285756593E-2</v>
      </c>
      <c r="W19" s="45">
        <f>W17-W18</f>
        <v>5.7099999999999984E-2</v>
      </c>
      <c r="X19" s="45">
        <f>X17-X18</f>
        <v>5.4999999999999993E-2</v>
      </c>
      <c r="Y19" s="45">
        <f>Y17-Y18</f>
        <v>5.67E-2</v>
      </c>
      <c r="Z19" s="45">
        <f>Z17-Z18</f>
        <v>5.5410000000000001E-2</v>
      </c>
    </row>
    <row r="20" spans="1:31" x14ac:dyDescent="0.35">
      <c r="B20" s="11"/>
      <c r="C20" s="11"/>
      <c r="D20" s="11"/>
      <c r="E20" s="11"/>
      <c r="F20" s="11"/>
      <c r="G20" s="11"/>
      <c r="H20" s="11"/>
      <c r="I20" s="11"/>
      <c r="M20" s="49"/>
      <c r="N20" s="49"/>
      <c r="O20" s="81"/>
      <c r="P20" s="77"/>
      <c r="Q20" s="77"/>
      <c r="R20" s="81"/>
      <c r="S20" s="81"/>
      <c r="T20" s="81"/>
      <c r="U20" s="81"/>
      <c r="V20" s="81"/>
      <c r="W20" s="81"/>
      <c r="X20" s="81"/>
      <c r="Y20" s="81"/>
      <c r="Z20" s="81"/>
    </row>
    <row r="22" spans="1:31" s="5" customFormat="1" x14ac:dyDescent="0.35">
      <c r="A22" s="5" t="s">
        <v>138</v>
      </c>
      <c r="B22" s="6"/>
      <c r="C22" s="6"/>
      <c r="D22" s="6"/>
      <c r="E22" s="6"/>
      <c r="F22" s="6"/>
      <c r="G22" s="6"/>
      <c r="H22" s="6"/>
      <c r="I22" s="6"/>
      <c r="M22" s="6"/>
      <c r="N22" s="6"/>
      <c r="O22" s="80"/>
      <c r="P22" s="6"/>
      <c r="Q22" s="6"/>
      <c r="R22" s="80"/>
      <c r="S22" s="80"/>
      <c r="T22" s="80"/>
      <c r="U22" s="80"/>
      <c r="V22" s="80"/>
      <c r="W22" s="80"/>
      <c r="X22" s="80"/>
      <c r="Y22" s="80"/>
      <c r="Z22" s="80"/>
      <c r="AA22" s="66"/>
      <c r="AB22" s="66"/>
      <c r="AC22" s="66"/>
    </row>
    <row r="23" spans="1:31" s="2" customFormat="1" x14ac:dyDescent="0.35">
      <c r="A23" s="2" t="s">
        <v>109</v>
      </c>
      <c r="B23" s="4" t="str">
        <f t="shared" ref="B23:G23" si="14">B1</f>
        <v>FY17</v>
      </c>
      <c r="C23" s="4" t="str">
        <f t="shared" si="14"/>
        <v>FY18</v>
      </c>
      <c r="D23" s="4" t="str">
        <f t="shared" si="14"/>
        <v>FY19</v>
      </c>
      <c r="E23" s="4" t="str">
        <f t="shared" si="14"/>
        <v>FY20</v>
      </c>
      <c r="F23" s="4" t="str">
        <f t="shared" si="14"/>
        <v>FY21</v>
      </c>
      <c r="G23" s="4" t="str">
        <f t="shared" si="14"/>
        <v>FY22</v>
      </c>
      <c r="H23" s="4" t="str">
        <f t="shared" ref="H23" si="15">H1</f>
        <v>FY23</v>
      </c>
      <c r="I23" s="4"/>
      <c r="M23" s="4" t="str">
        <f t="shared" ref="M23:AB23" si="16">M1</f>
        <v>Q1FY21</v>
      </c>
      <c r="N23" s="4" t="str">
        <f t="shared" si="16"/>
        <v>Q2FY21</v>
      </c>
      <c r="O23" s="34" t="str">
        <f t="shared" si="16"/>
        <v>Q3FY21</v>
      </c>
      <c r="P23" s="4" t="str">
        <f t="shared" si="16"/>
        <v>Q4FY21</v>
      </c>
      <c r="Q23" s="4" t="str">
        <f t="shared" si="16"/>
        <v>Q1FY22</v>
      </c>
      <c r="R23" s="34" t="str">
        <f t="shared" si="16"/>
        <v>Q2FY22</v>
      </c>
      <c r="S23" s="34" t="str">
        <f>S1</f>
        <v>Q3FY22</v>
      </c>
      <c r="T23" s="34" t="str">
        <f t="shared" si="16"/>
        <v>Q4FY22</v>
      </c>
      <c r="U23" s="34" t="str">
        <f t="shared" ref="U23:V23" si="17">U1</f>
        <v>Q1FY23</v>
      </c>
      <c r="V23" s="34" t="str">
        <f t="shared" si="17"/>
        <v>Q2FY23</v>
      </c>
      <c r="W23" s="34" t="str">
        <f t="shared" ref="W23:X23" si="18">W1</f>
        <v>Q3FY23</v>
      </c>
      <c r="X23" s="34" t="str">
        <f t="shared" si="18"/>
        <v>Q4FY23</v>
      </c>
      <c r="Y23" s="34" t="str">
        <f t="shared" ref="Y23:Z23" si="19">Y1</f>
        <v>Q1FY24</v>
      </c>
      <c r="Z23" s="34" t="str">
        <f t="shared" si="19"/>
        <v>Q2FY24</v>
      </c>
      <c r="AA23" s="4" t="str">
        <f t="shared" si="16"/>
        <v>y-o-y</v>
      </c>
      <c r="AB23" s="4" t="str">
        <f t="shared" si="16"/>
        <v>q-o-q</v>
      </c>
      <c r="AC23" s="4"/>
    </row>
    <row r="24" spans="1:31" x14ac:dyDescent="0.35">
      <c r="A24" s="1" t="s">
        <v>49</v>
      </c>
      <c r="B24" s="11">
        <v>3.4000000000000002E-2</v>
      </c>
      <c r="C24" s="11">
        <v>3.0980000000000001E-2</v>
      </c>
      <c r="D24" s="11">
        <v>3.15E-2</v>
      </c>
      <c r="E24" s="11">
        <v>4.3799999999999999E-2</v>
      </c>
      <c r="F24" s="11">
        <v>6.2199999999999998E-2</v>
      </c>
      <c r="G24" s="11">
        <f>T24</f>
        <v>5.28E-2</v>
      </c>
      <c r="H24" s="11">
        <f>X24</f>
        <v>3.9699999999999999E-2</v>
      </c>
      <c r="I24" s="11"/>
      <c r="M24" s="11">
        <v>0.02</v>
      </c>
      <c r="N24" s="11">
        <v>6.7000000000000004E-2</v>
      </c>
      <c r="O24" s="11">
        <v>7.4999999999999997E-2</v>
      </c>
      <c r="P24" s="11">
        <v>6.2E-2</v>
      </c>
      <c r="Q24" s="11">
        <v>8.8999999999999996E-2</v>
      </c>
      <c r="R24" s="11">
        <v>7.5999999999999998E-2</v>
      </c>
      <c r="S24" s="11">
        <v>6.5000000000000002E-2</v>
      </c>
      <c r="T24" s="11">
        <v>5.28E-2</v>
      </c>
      <c r="U24" s="11">
        <v>4.9700000000000001E-2</v>
      </c>
      <c r="V24" s="11">
        <v>4.7480000000000001E-2</v>
      </c>
      <c r="W24" s="11">
        <v>4.41E-2</v>
      </c>
      <c r="X24" s="11">
        <v>3.9699999999999999E-2</v>
      </c>
      <c r="Y24" s="11">
        <v>4.2900000000000001E-2</v>
      </c>
      <c r="Z24" s="11">
        <v>4.4999999999999998E-2</v>
      </c>
    </row>
    <row r="25" spans="1:31" s="2" customFormat="1" x14ac:dyDescent="0.35">
      <c r="B25" s="4"/>
      <c r="C25" s="4"/>
      <c r="D25" s="4"/>
      <c r="E25" s="4"/>
      <c r="F25" s="4"/>
      <c r="G25" s="4"/>
      <c r="H25" s="4"/>
      <c r="I25" s="4"/>
      <c r="M25" s="4"/>
      <c r="N25" s="4"/>
      <c r="O25" s="34"/>
      <c r="P25" s="4"/>
      <c r="Q25" s="4"/>
      <c r="R25" s="34"/>
      <c r="S25" s="34"/>
      <c r="T25" s="34"/>
      <c r="U25" s="34"/>
      <c r="V25" s="34"/>
      <c r="W25" s="34"/>
      <c r="X25" s="34"/>
      <c r="Y25" s="34"/>
      <c r="Z25" s="34"/>
      <c r="AA25" s="70"/>
      <c r="AB25" s="70"/>
      <c r="AC25" s="70"/>
    </row>
    <row r="26" spans="1:31" x14ac:dyDescent="0.35">
      <c r="A26" s="1" t="s">
        <v>50</v>
      </c>
      <c r="B26" s="26">
        <v>161.05000000000001</v>
      </c>
      <c r="C26" s="26">
        <v>182.47</v>
      </c>
      <c r="D26" s="26">
        <v>364.12000000000006</v>
      </c>
      <c r="E26" s="26">
        <v>596.68000000000006</v>
      </c>
      <c r="F26" s="26">
        <v>1394.9959999999999</v>
      </c>
      <c r="G26" s="26">
        <f>T26</f>
        <v>1588.68</v>
      </c>
      <c r="H26" s="26">
        <f>X26</f>
        <v>1630.44</v>
      </c>
      <c r="I26" s="26"/>
      <c r="J26" s="2"/>
      <c r="K26" s="2"/>
      <c r="M26" s="26">
        <v>419.79</v>
      </c>
      <c r="N26" s="26">
        <v>402.67</v>
      </c>
      <c r="O26" s="26">
        <v>1331.96</v>
      </c>
      <c r="P26" s="26">
        <f>F26</f>
        <v>1394.9959999999999</v>
      </c>
      <c r="Q26" s="35">
        <v>1986.22</v>
      </c>
      <c r="R26" s="35">
        <v>1917.16</v>
      </c>
      <c r="S26" s="35">
        <v>1893.88</v>
      </c>
      <c r="T26" s="35">
        <v>1588.68</v>
      </c>
      <c r="U26" s="35">
        <v>1676.81</v>
      </c>
      <c r="V26" s="35">
        <v>1691.5450000000001</v>
      </c>
      <c r="W26" s="35">
        <v>1677.29</v>
      </c>
      <c r="X26" s="35">
        <v>1630.44</v>
      </c>
      <c r="Y26" s="35">
        <v>1918.97</v>
      </c>
      <c r="Z26" s="35">
        <v>2065.3000000000002</v>
      </c>
      <c r="AA26" s="69">
        <f>IFERROR(Z26/V26-1,"")</f>
        <v>0.22095480758714681</v>
      </c>
      <c r="AB26" s="69">
        <f>IFERROR(Z26/Y26-1,"")</f>
        <v>7.6254449001287306E-2</v>
      </c>
      <c r="AC26" s="69"/>
      <c r="AE26" s="111"/>
    </row>
    <row r="27" spans="1:31" x14ac:dyDescent="0.35">
      <c r="A27" s="1" t="s">
        <v>7</v>
      </c>
      <c r="B27" s="11">
        <f t="shared" ref="B27:G27" si="20">B26/B5</f>
        <v>2.0311591543416108E-2</v>
      </c>
      <c r="C27" s="11">
        <f t="shared" si="20"/>
        <v>1.3882284737855568E-2</v>
      </c>
      <c r="D27" s="11">
        <f t="shared" si="20"/>
        <v>1.6962053856337759E-2</v>
      </c>
      <c r="E27" s="11">
        <f t="shared" si="20"/>
        <v>1.9623371241769876E-2</v>
      </c>
      <c r="F27" s="11">
        <f t="shared" si="20"/>
        <v>4.1372466559384632E-2</v>
      </c>
      <c r="G27" s="11">
        <f t="shared" si="20"/>
        <v>3.6508655833966827E-2</v>
      </c>
      <c r="H27" s="11">
        <f>H26/H5</f>
        <v>2.6939972459246522E-2</v>
      </c>
      <c r="I27" s="11"/>
      <c r="J27" s="2"/>
      <c r="K27" s="2"/>
      <c r="M27" s="57">
        <f t="shared" ref="M27:T27" si="21">M26/M5</f>
        <v>1.4475222745468282E-2</v>
      </c>
      <c r="N27" s="23">
        <f t="shared" si="21"/>
        <v>1.3368604910199243E-2</v>
      </c>
      <c r="O27" s="23">
        <f t="shared" si="21"/>
        <v>4.0958726502226733E-2</v>
      </c>
      <c r="P27" s="11">
        <f t="shared" si="21"/>
        <v>4.1372466559384632E-2</v>
      </c>
      <c r="Q27" s="11">
        <f t="shared" si="21"/>
        <v>5.7720446031403284E-2</v>
      </c>
      <c r="R27" s="11">
        <f t="shared" si="21"/>
        <v>5.2013517502430898E-2</v>
      </c>
      <c r="S27" s="11">
        <f>S26/S5</f>
        <v>4.7342242104668489E-2</v>
      </c>
      <c r="T27" s="11">
        <f t="shared" si="21"/>
        <v>3.6508655833966827E-2</v>
      </c>
      <c r="U27" s="11">
        <f t="shared" ref="U27:V27" si="22">U26/U5</f>
        <v>3.5169720997213369E-2</v>
      </c>
      <c r="V27" s="11">
        <f t="shared" si="22"/>
        <v>3.2560468658086254E-2</v>
      </c>
      <c r="W27" s="11">
        <f>W26/W5</f>
        <v>2.9696535118004283E-2</v>
      </c>
      <c r="X27" s="11">
        <f>X26/X5</f>
        <v>2.6939972459246522E-2</v>
      </c>
      <c r="Y27" s="11">
        <f>Y26/Y5</f>
        <v>2.9166355087913848E-2</v>
      </c>
      <c r="Z27" s="11">
        <f>Z26/Z5</f>
        <v>2.9135932605186602E-2</v>
      </c>
      <c r="AD27" s="112"/>
      <c r="AE27" s="117"/>
    </row>
    <row r="28" spans="1:31" x14ac:dyDescent="0.35">
      <c r="T28" s="77"/>
      <c r="U28" s="77"/>
      <c r="V28" s="77"/>
      <c r="W28" s="77"/>
      <c r="X28" s="77"/>
      <c r="Y28" s="77"/>
      <c r="Z28" s="77"/>
    </row>
    <row r="29" spans="1:31" x14ac:dyDescent="0.35">
      <c r="A29" s="1" t="s">
        <v>240</v>
      </c>
      <c r="B29" s="26"/>
      <c r="C29" s="26"/>
      <c r="D29" s="26"/>
      <c r="E29" s="26"/>
      <c r="F29" s="26"/>
      <c r="G29" s="26">
        <f>T29</f>
        <v>571.17999999999995</v>
      </c>
      <c r="H29" s="26">
        <f>X29</f>
        <v>552.58000000000004</v>
      </c>
      <c r="I29" s="26"/>
      <c r="J29" s="2"/>
      <c r="K29" s="2"/>
      <c r="M29" s="26"/>
      <c r="N29" s="26"/>
      <c r="O29" s="26"/>
      <c r="P29" s="26"/>
      <c r="Q29" s="35"/>
      <c r="R29" s="35"/>
      <c r="S29" s="35">
        <v>684.4</v>
      </c>
      <c r="T29" s="35">
        <v>571.17999999999995</v>
      </c>
      <c r="U29" s="35">
        <v>576.41</v>
      </c>
      <c r="V29" s="35">
        <v>558.72</v>
      </c>
      <c r="W29" s="35">
        <v>617.61</v>
      </c>
      <c r="X29" s="35">
        <v>552.58000000000004</v>
      </c>
      <c r="Y29" s="35">
        <v>677.77</v>
      </c>
      <c r="Z29" s="35">
        <v>762.99</v>
      </c>
      <c r="AA29" s="69">
        <f>IFERROR(Z29/V29-1,"")</f>
        <v>0.36560352233676974</v>
      </c>
      <c r="AB29" s="69">
        <f>IFERROR(Z29/Y29-1,"")</f>
        <v>0.12573586910013734</v>
      </c>
      <c r="AC29" s="69"/>
      <c r="AE29" s="111"/>
    </row>
    <row r="30" spans="1:31" x14ac:dyDescent="0.35">
      <c r="A30" s="1" t="s">
        <v>241</v>
      </c>
      <c r="B30" s="11"/>
      <c r="C30" s="11"/>
      <c r="D30" s="11"/>
      <c r="E30" s="11"/>
      <c r="F30" s="11"/>
      <c r="G30" s="11">
        <f>G29/G5</f>
        <v>1.3126000226128087E-2</v>
      </c>
      <c r="H30" s="11">
        <f>H29/H5</f>
        <v>9.1303513048811638E-3</v>
      </c>
      <c r="I30" s="11"/>
      <c r="J30" s="2"/>
      <c r="K30" s="2"/>
      <c r="M30" s="57"/>
      <c r="N30" s="23"/>
      <c r="O30" s="23"/>
      <c r="P30" s="11"/>
      <c r="Q30" s="11"/>
      <c r="R30" s="11"/>
      <c r="S30" s="11">
        <f t="shared" ref="S30:X30" si="23">S29/S5</f>
        <v>1.7108280617797914E-2</v>
      </c>
      <c r="T30" s="11">
        <f t="shared" si="23"/>
        <v>1.3126000226128087E-2</v>
      </c>
      <c r="U30" s="11">
        <f t="shared" si="23"/>
        <v>1.2089729235872732E-2</v>
      </c>
      <c r="V30" s="11">
        <f t="shared" si="23"/>
        <v>1.0754774510075673E-2</v>
      </c>
      <c r="W30" s="11">
        <f t="shared" si="23"/>
        <v>1.0934827641153663E-2</v>
      </c>
      <c r="X30" s="11">
        <f t="shared" si="23"/>
        <v>9.1303513048811638E-3</v>
      </c>
      <c r="Y30" s="11">
        <f>Y29/Y5</f>
        <v>1.0301401526827084E-2</v>
      </c>
      <c r="Z30" s="11">
        <f>Z29/Z5</f>
        <v>1.0763775344226663E-2</v>
      </c>
      <c r="AD30" s="118"/>
      <c r="AE30" s="117"/>
    </row>
    <row r="31" spans="1:31" x14ac:dyDescent="0.35">
      <c r="B31" s="26"/>
      <c r="C31" s="26"/>
      <c r="D31" s="26"/>
      <c r="E31" s="26"/>
      <c r="F31" s="26"/>
      <c r="G31" s="26"/>
      <c r="H31" s="26"/>
      <c r="I31" s="26"/>
      <c r="J31" s="2"/>
      <c r="K31" s="2"/>
      <c r="M31" s="26"/>
      <c r="N31" s="26"/>
      <c r="O31" s="26"/>
      <c r="P31" s="26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69"/>
      <c r="AB31" s="69"/>
      <c r="AC31" s="69"/>
      <c r="AE31" s="111"/>
    </row>
    <row r="32" spans="1:31" x14ac:dyDescent="0.35">
      <c r="A32" s="1" t="s">
        <v>123</v>
      </c>
      <c r="B32" s="26">
        <v>57.24</v>
      </c>
      <c r="C32" s="26">
        <v>80.679999999999993</v>
      </c>
      <c r="D32" s="26">
        <v>170.45000000000002</v>
      </c>
      <c r="E32" s="26">
        <v>315.36</v>
      </c>
      <c r="F32" s="26">
        <v>621.66000000000008</v>
      </c>
      <c r="G32" s="26">
        <f>T32</f>
        <v>1015.23</v>
      </c>
      <c r="H32" s="26">
        <f t="shared" ref="H32:H33" si="24">X32</f>
        <v>973.91</v>
      </c>
      <c r="I32" s="26"/>
      <c r="M32" s="26">
        <v>275.32</v>
      </c>
      <c r="N32" s="26">
        <v>275.79000000000002</v>
      </c>
      <c r="O32" s="26">
        <v>510.7</v>
      </c>
      <c r="P32" s="26">
        <v>621.66</v>
      </c>
      <c r="Q32" s="26">
        <v>665.55</v>
      </c>
      <c r="R32" s="26">
        <v>640.4</v>
      </c>
      <c r="S32" s="107">
        <v>1023.6</v>
      </c>
      <c r="T32" s="107">
        <v>1015.23</v>
      </c>
      <c r="U32" s="107">
        <v>1020.03</v>
      </c>
      <c r="V32" s="107">
        <v>1001.11</v>
      </c>
      <c r="W32" s="107">
        <v>1007.89</v>
      </c>
      <c r="X32" s="107">
        <v>973.91</v>
      </c>
      <c r="Y32" s="107">
        <v>1077.32</v>
      </c>
      <c r="Z32" s="107">
        <v>1233.3900000000001</v>
      </c>
      <c r="AA32" s="69">
        <f t="shared" ref="AA32:AA36" si="25">IFERROR(Z32/V32-1,"")</f>
        <v>0.23202245507486707</v>
      </c>
      <c r="AB32" s="69">
        <f t="shared" ref="AB32:AB36" si="26">IFERROR(Z32/Y32-1,"")</f>
        <v>0.14486874837559882</v>
      </c>
      <c r="AC32" s="69"/>
    </row>
    <row r="33" spans="1:31" x14ac:dyDescent="0.35">
      <c r="A33" s="1" t="s">
        <v>124</v>
      </c>
      <c r="B33" s="26">
        <v>9.5299999999999994</v>
      </c>
      <c r="C33" s="26">
        <v>16.5</v>
      </c>
      <c r="D33" s="26">
        <v>42.4</v>
      </c>
      <c r="E33" s="26">
        <v>81.22</v>
      </c>
      <c r="F33" s="26">
        <v>223.54</v>
      </c>
      <c r="G33" s="26">
        <f>T33</f>
        <v>252.51</v>
      </c>
      <c r="H33" s="26">
        <f t="shared" si="24"/>
        <v>330.7</v>
      </c>
      <c r="I33" s="26"/>
      <c r="M33" s="26">
        <v>72.02</v>
      </c>
      <c r="N33" s="26">
        <v>89.4</v>
      </c>
      <c r="O33" s="26">
        <v>146.05000000000001</v>
      </c>
      <c r="P33" s="26">
        <v>223.54</v>
      </c>
      <c r="Q33" s="26">
        <v>174.32</v>
      </c>
      <c r="R33" s="26">
        <v>189.63</v>
      </c>
      <c r="S33" s="26">
        <v>232.04</v>
      </c>
      <c r="T33" s="26">
        <v>252.51</v>
      </c>
      <c r="U33" s="26">
        <v>228.76</v>
      </c>
      <c r="V33" s="26">
        <v>264.5</v>
      </c>
      <c r="W33" s="26">
        <v>293.06</v>
      </c>
      <c r="X33" s="26">
        <v>330.7</v>
      </c>
      <c r="Y33" s="26">
        <v>334.28</v>
      </c>
      <c r="Z33" s="26">
        <v>374.23</v>
      </c>
      <c r="AA33" s="69">
        <f t="shared" si="25"/>
        <v>0.41485822306238185</v>
      </c>
      <c r="AB33" s="69">
        <f t="shared" si="26"/>
        <v>0.11951058992461427</v>
      </c>
      <c r="AC33" s="69"/>
    </row>
    <row r="34" spans="1:31" s="2" customFormat="1" x14ac:dyDescent="0.35">
      <c r="A34" s="2" t="s">
        <v>84</v>
      </c>
      <c r="B34" s="4">
        <f t="shared" ref="B34:G34" si="27">B32-B33</f>
        <v>47.71</v>
      </c>
      <c r="C34" s="4">
        <f t="shared" si="27"/>
        <v>64.179999999999993</v>
      </c>
      <c r="D34" s="4">
        <f t="shared" si="27"/>
        <v>128.05000000000001</v>
      </c>
      <c r="E34" s="4">
        <f t="shared" si="27"/>
        <v>234.14000000000001</v>
      </c>
      <c r="F34" s="4">
        <f t="shared" si="27"/>
        <v>398.12000000000012</v>
      </c>
      <c r="G34" s="4">
        <f t="shared" si="27"/>
        <v>762.72</v>
      </c>
      <c r="H34" s="4">
        <f>H32-H33</f>
        <v>643.21</v>
      </c>
      <c r="I34" s="4"/>
      <c r="M34" s="4">
        <f t="shared" ref="M34:T34" si="28">M32-M33</f>
        <v>203.3</v>
      </c>
      <c r="N34" s="4">
        <f t="shared" si="28"/>
        <v>186.39000000000001</v>
      </c>
      <c r="O34" s="4">
        <f t="shared" si="28"/>
        <v>364.65</v>
      </c>
      <c r="P34" s="4">
        <f t="shared" si="28"/>
        <v>398.12</v>
      </c>
      <c r="Q34" s="4">
        <f t="shared" si="28"/>
        <v>491.22999999999996</v>
      </c>
      <c r="R34" s="4">
        <f t="shared" si="28"/>
        <v>450.77</v>
      </c>
      <c r="S34" s="4">
        <f>S32-S33</f>
        <v>791.56000000000006</v>
      </c>
      <c r="T34" s="4">
        <f t="shared" si="28"/>
        <v>762.72</v>
      </c>
      <c r="U34" s="4">
        <f t="shared" ref="U34:V34" si="29">U32-U33</f>
        <v>791.27</v>
      </c>
      <c r="V34" s="4">
        <f t="shared" si="29"/>
        <v>736.61</v>
      </c>
      <c r="W34" s="4">
        <f>W32-W33</f>
        <v>714.82999999999993</v>
      </c>
      <c r="X34" s="4">
        <f>X32-X33</f>
        <v>643.21</v>
      </c>
      <c r="Y34" s="4">
        <f>Y32-Y33</f>
        <v>743.04</v>
      </c>
      <c r="Z34" s="4">
        <f>Z32-Z33</f>
        <v>859.16000000000008</v>
      </c>
      <c r="AA34" s="71">
        <f t="shared" si="25"/>
        <v>0.16637026377594655</v>
      </c>
      <c r="AB34" s="71">
        <f t="shared" si="26"/>
        <v>0.15627691645133512</v>
      </c>
      <c r="AC34" s="71"/>
    </row>
    <row r="35" spans="1:31" x14ac:dyDescent="0.35">
      <c r="A35" s="1" t="s">
        <v>142</v>
      </c>
      <c r="B35" s="26">
        <v>35.85</v>
      </c>
      <c r="C35" s="26">
        <v>56.74</v>
      </c>
      <c r="D35" s="26">
        <v>119.69</v>
      </c>
      <c r="E35" s="26">
        <v>267.45999999999998</v>
      </c>
      <c r="F35" s="26">
        <v>452.98</v>
      </c>
      <c r="G35" s="26">
        <f>T35</f>
        <v>466.5</v>
      </c>
      <c r="H35" s="26">
        <f>X35</f>
        <v>564.22</v>
      </c>
      <c r="I35" s="26"/>
      <c r="M35" s="26">
        <v>306.88</v>
      </c>
      <c r="N35" s="26">
        <v>398.93</v>
      </c>
      <c r="O35" s="26">
        <v>452.25</v>
      </c>
      <c r="P35" s="26">
        <f>F35</f>
        <v>452.98</v>
      </c>
      <c r="Q35" s="26">
        <v>459.67</v>
      </c>
      <c r="R35" s="26">
        <v>486.95</v>
      </c>
      <c r="S35" s="26">
        <v>464.17</v>
      </c>
      <c r="T35" s="26">
        <v>466.5</v>
      </c>
      <c r="U35" s="26">
        <v>455.33</v>
      </c>
      <c r="V35" s="26">
        <v>496.48</v>
      </c>
      <c r="W35" s="26">
        <v>526.13</v>
      </c>
      <c r="X35" s="26">
        <v>564.22</v>
      </c>
      <c r="Y35" s="26">
        <v>599.66</v>
      </c>
      <c r="Z35" s="26">
        <v>631.70000000000005</v>
      </c>
      <c r="AA35" s="69">
        <f t="shared" si="25"/>
        <v>0.27235739606832099</v>
      </c>
      <c r="AB35" s="69">
        <f t="shared" si="26"/>
        <v>5.3430277157055839E-2</v>
      </c>
      <c r="AC35" s="69"/>
    </row>
    <row r="36" spans="1:31" s="2" customFormat="1" x14ac:dyDescent="0.35">
      <c r="A36" s="2" t="s">
        <v>155</v>
      </c>
      <c r="B36" s="4">
        <f t="shared" ref="B36:H36" si="30">B5-B35</f>
        <v>7893.12</v>
      </c>
      <c r="C36" s="4">
        <f t="shared" si="30"/>
        <v>13087.35</v>
      </c>
      <c r="D36" s="4">
        <f t="shared" si="30"/>
        <v>21347.050000000003</v>
      </c>
      <c r="E36" s="4">
        <f t="shared" si="30"/>
        <v>30139.140000000007</v>
      </c>
      <c r="F36" s="4">
        <f t="shared" si="30"/>
        <v>33265</v>
      </c>
      <c r="G36" s="4">
        <f t="shared" si="30"/>
        <v>43048.66</v>
      </c>
      <c r="H36" s="4">
        <f t="shared" si="30"/>
        <v>59957.000000000007</v>
      </c>
      <c r="I36" s="4"/>
      <c r="M36" s="4">
        <f t="shared" ref="M36:Y36" si="31">M5-M35</f>
        <v>28693.71</v>
      </c>
      <c r="N36" s="4">
        <f t="shared" si="31"/>
        <v>29721.64</v>
      </c>
      <c r="O36" s="4">
        <f t="shared" si="31"/>
        <v>32067.315761586546</v>
      </c>
      <c r="P36" s="4">
        <f t="shared" si="31"/>
        <v>33265</v>
      </c>
      <c r="Q36" s="4">
        <f t="shared" si="31"/>
        <v>33951.360000000015</v>
      </c>
      <c r="R36" s="4">
        <f t="shared" si="31"/>
        <v>36371.93</v>
      </c>
      <c r="S36" s="4">
        <f t="shared" si="31"/>
        <v>39539.85</v>
      </c>
      <c r="T36" s="4">
        <f t="shared" si="31"/>
        <v>43048.66</v>
      </c>
      <c r="U36" s="4">
        <f t="shared" si="31"/>
        <v>47222.33</v>
      </c>
      <c r="V36" s="4">
        <f t="shared" si="31"/>
        <v>51454.399999999994</v>
      </c>
      <c r="W36" s="4">
        <f t="shared" si="31"/>
        <v>55954.87</v>
      </c>
      <c r="X36" s="4">
        <f t="shared" si="31"/>
        <v>59957.000000000007</v>
      </c>
      <c r="Y36" s="4">
        <f t="shared" si="31"/>
        <v>65194.299999999988</v>
      </c>
      <c r="Z36" s="4">
        <f t="shared" ref="Z36" si="32">Z5-Z35</f>
        <v>70253.279999999999</v>
      </c>
      <c r="AA36" s="71">
        <f t="shared" si="25"/>
        <v>0.3653502907428714</v>
      </c>
      <c r="AB36" s="71">
        <f t="shared" si="26"/>
        <v>7.7598501709505552E-2</v>
      </c>
      <c r="AC36" s="71"/>
    </row>
    <row r="37" spans="1:31" s="2" customFormat="1" x14ac:dyDescent="0.35">
      <c r="B37" s="4"/>
      <c r="C37" s="4"/>
      <c r="D37" s="4"/>
      <c r="E37" s="4"/>
      <c r="F37" s="4"/>
      <c r="G37" s="4"/>
      <c r="H37" s="4"/>
      <c r="I37" s="4"/>
      <c r="M37" s="4"/>
      <c r="N37" s="4"/>
      <c r="O37" s="34"/>
      <c r="P37" s="4"/>
      <c r="Q37" s="4"/>
      <c r="R37" s="34"/>
      <c r="S37" s="34"/>
      <c r="T37" s="34"/>
      <c r="U37" s="34"/>
      <c r="V37" s="34"/>
      <c r="W37" s="34"/>
      <c r="X37" s="34"/>
      <c r="Y37" s="34"/>
      <c r="Z37" s="34"/>
      <c r="AA37" s="70"/>
      <c r="AB37" s="70"/>
      <c r="AC37" s="70"/>
    </row>
    <row r="38" spans="1:31" s="2" customFormat="1" x14ac:dyDescent="0.35">
      <c r="A38" s="1" t="s">
        <v>188</v>
      </c>
      <c r="B38" s="46">
        <f t="shared" ref="B38:H38" si="33">B5-B26</f>
        <v>7767.92</v>
      </c>
      <c r="C38" s="46">
        <f t="shared" si="33"/>
        <v>12961.62</v>
      </c>
      <c r="D38" s="46">
        <f t="shared" si="33"/>
        <v>21102.620000000003</v>
      </c>
      <c r="E38" s="46">
        <f t="shared" si="33"/>
        <v>29809.920000000006</v>
      </c>
      <c r="F38" s="46">
        <f t="shared" si="33"/>
        <v>32322.984000000004</v>
      </c>
      <c r="G38" s="46">
        <f t="shared" si="33"/>
        <v>41926.480000000003</v>
      </c>
      <c r="H38" s="46">
        <f t="shared" si="33"/>
        <v>58890.780000000006</v>
      </c>
      <c r="I38" s="46"/>
      <c r="M38" s="46">
        <f t="shared" ref="M38:Y38" si="34">M5-M26</f>
        <v>28580.799999999999</v>
      </c>
      <c r="N38" s="46">
        <f t="shared" si="34"/>
        <v>29717.9</v>
      </c>
      <c r="O38" s="46">
        <f t="shared" si="34"/>
        <v>31187.605761586547</v>
      </c>
      <c r="P38" s="46">
        <f t="shared" si="34"/>
        <v>32322.984000000004</v>
      </c>
      <c r="Q38" s="46">
        <f t="shared" si="34"/>
        <v>32424.810000000012</v>
      </c>
      <c r="R38" s="46">
        <f t="shared" si="34"/>
        <v>34941.719999999994</v>
      </c>
      <c r="S38" s="46">
        <f t="shared" si="34"/>
        <v>38110.14</v>
      </c>
      <c r="T38" s="46">
        <f t="shared" si="34"/>
        <v>41926.480000000003</v>
      </c>
      <c r="U38" s="46">
        <f t="shared" si="34"/>
        <v>46000.850000000006</v>
      </c>
      <c r="V38" s="46">
        <f t="shared" si="34"/>
        <v>50259.334999999999</v>
      </c>
      <c r="W38" s="46">
        <f t="shared" si="34"/>
        <v>54803.71</v>
      </c>
      <c r="X38" s="46">
        <f t="shared" si="34"/>
        <v>58890.780000000006</v>
      </c>
      <c r="Y38" s="46">
        <f t="shared" si="34"/>
        <v>63874.989999999991</v>
      </c>
      <c r="Z38" s="46">
        <f t="shared" ref="Z38" si="35">Z5-Z26</f>
        <v>68819.679999999993</v>
      </c>
      <c r="AA38" s="69">
        <f t="shared" ref="AA38:AA39" si="36">IFERROR(Z38/V38-1,"")</f>
        <v>0.36929149579874054</v>
      </c>
      <c r="AB38" s="69">
        <f t="shared" ref="AB38:AB39" si="37">IFERROR(Z38/Y38-1,"")</f>
        <v>7.7411988635927909E-2</v>
      </c>
      <c r="AC38" s="71"/>
    </row>
    <row r="39" spans="1:31" s="2" customFormat="1" x14ac:dyDescent="0.35">
      <c r="A39" s="1" t="s">
        <v>189</v>
      </c>
      <c r="B39" s="46">
        <f t="shared" ref="B39:H39" si="38">B26-B32</f>
        <v>103.81</v>
      </c>
      <c r="C39" s="46">
        <f t="shared" si="38"/>
        <v>101.79</v>
      </c>
      <c r="D39" s="46">
        <f t="shared" si="38"/>
        <v>193.67000000000004</v>
      </c>
      <c r="E39" s="46">
        <f t="shared" si="38"/>
        <v>281.32000000000005</v>
      </c>
      <c r="F39" s="46">
        <f t="shared" si="38"/>
        <v>773.33599999999979</v>
      </c>
      <c r="G39" s="46">
        <f t="shared" si="38"/>
        <v>573.45000000000005</v>
      </c>
      <c r="H39" s="46">
        <f t="shared" si="38"/>
        <v>656.53000000000009</v>
      </c>
      <c r="I39" s="46"/>
      <c r="M39" s="46">
        <f t="shared" ref="M39:Y39" si="39">M26-M32</f>
        <v>144.47000000000003</v>
      </c>
      <c r="N39" s="46">
        <f t="shared" si="39"/>
        <v>126.88</v>
      </c>
      <c r="O39" s="46">
        <f t="shared" si="39"/>
        <v>821.26</v>
      </c>
      <c r="P39" s="46">
        <f t="shared" si="39"/>
        <v>773.3359999999999</v>
      </c>
      <c r="Q39" s="46">
        <f t="shared" si="39"/>
        <v>1320.67</v>
      </c>
      <c r="R39" s="46">
        <f t="shared" si="39"/>
        <v>1276.7600000000002</v>
      </c>
      <c r="S39" s="46">
        <f t="shared" si="39"/>
        <v>870.28000000000009</v>
      </c>
      <c r="T39" s="46">
        <f t="shared" si="39"/>
        <v>573.45000000000005</v>
      </c>
      <c r="U39" s="46">
        <f t="shared" si="39"/>
        <v>656.78</v>
      </c>
      <c r="V39" s="46">
        <f t="shared" si="39"/>
        <v>690.43500000000006</v>
      </c>
      <c r="W39" s="46">
        <f t="shared" si="39"/>
        <v>669.4</v>
      </c>
      <c r="X39" s="46">
        <f t="shared" si="39"/>
        <v>656.53000000000009</v>
      </c>
      <c r="Y39" s="46">
        <f t="shared" si="39"/>
        <v>841.65000000000009</v>
      </c>
      <c r="Z39" s="46">
        <f t="shared" ref="Z39" si="40">Z26-Z32</f>
        <v>831.91000000000008</v>
      </c>
      <c r="AA39" s="69">
        <f t="shared" si="36"/>
        <v>0.20490705135168419</v>
      </c>
      <c r="AB39" s="69">
        <f t="shared" si="37"/>
        <v>-1.1572506386265058E-2</v>
      </c>
      <c r="AC39" s="71"/>
    </row>
    <row r="40" spans="1:31" s="8" customFormat="1" x14ac:dyDescent="0.35">
      <c r="B40" s="10"/>
      <c r="C40" s="10"/>
      <c r="D40" s="10"/>
      <c r="E40" s="10"/>
      <c r="F40" s="10"/>
      <c r="G40" s="10"/>
      <c r="H40" s="10"/>
      <c r="I40" s="10"/>
      <c r="M40" s="10"/>
      <c r="N40" s="10"/>
      <c r="O40" s="82"/>
      <c r="P40" s="10"/>
      <c r="Q40" s="10"/>
      <c r="R40" s="82"/>
      <c r="S40" s="82"/>
      <c r="T40" s="92"/>
      <c r="U40" s="92"/>
      <c r="V40" s="92"/>
      <c r="W40" s="92"/>
      <c r="X40" s="92"/>
      <c r="Y40" s="92"/>
      <c r="Z40" s="92"/>
      <c r="AA40" s="64"/>
      <c r="AB40" s="64"/>
      <c r="AC40" s="64"/>
    </row>
    <row r="41" spans="1:31" s="8" customFormat="1" x14ac:dyDescent="0.35">
      <c r="A41" s="8" t="s">
        <v>18</v>
      </c>
      <c r="B41" s="28">
        <f t="shared" ref="B41:H41" si="41">B32/B5</f>
        <v>7.2190965535246067E-3</v>
      </c>
      <c r="C41" s="28">
        <f t="shared" si="41"/>
        <v>6.1381198698426433E-3</v>
      </c>
      <c r="D41" s="28">
        <f t="shared" si="41"/>
        <v>7.9401902664307678E-3</v>
      </c>
      <c r="E41" s="28">
        <f t="shared" si="41"/>
        <v>1.0371432517940182E-2</v>
      </c>
      <c r="F41" s="28">
        <f t="shared" si="41"/>
        <v>1.843704753368974E-2</v>
      </c>
      <c r="G41" s="100">
        <f t="shared" si="41"/>
        <v>2.333048987984877E-2</v>
      </c>
      <c r="H41" s="100">
        <f t="shared" si="41"/>
        <v>1.6092041766507678E-2</v>
      </c>
      <c r="I41" s="28"/>
      <c r="M41" s="87">
        <f t="shared" ref="M41:X41" si="42">M32/M5</f>
        <v>9.4935999577939623E-3</v>
      </c>
      <c r="N41" s="87">
        <f t="shared" si="42"/>
        <v>9.1562012272676119E-3</v>
      </c>
      <c r="O41" s="87">
        <f t="shared" si="42"/>
        <v>1.5704391742009664E-2</v>
      </c>
      <c r="P41" s="88">
        <f t="shared" si="42"/>
        <v>1.8437047533689736E-2</v>
      </c>
      <c r="Q41" s="88">
        <f t="shared" si="42"/>
        <v>1.9341182173274084E-2</v>
      </c>
      <c r="R41" s="88">
        <f t="shared" si="42"/>
        <v>1.7374374913182385E-2</v>
      </c>
      <c r="S41" s="89">
        <f t="shared" si="42"/>
        <v>2.5587428463439428E-2</v>
      </c>
      <c r="T41" s="89">
        <f t="shared" si="42"/>
        <v>2.333048987984877E-2</v>
      </c>
      <c r="U41" s="89">
        <f t="shared" si="42"/>
        <v>2.1394296616067145E-2</v>
      </c>
      <c r="V41" s="89">
        <f t="shared" si="42"/>
        <v>1.9270318423865007E-2</v>
      </c>
      <c r="W41" s="89">
        <f t="shared" si="42"/>
        <v>1.7844761955347815E-2</v>
      </c>
      <c r="X41" s="89">
        <f t="shared" si="42"/>
        <v>1.6092041766507678E-2</v>
      </c>
      <c r="Y41" s="89">
        <f>Y32/Y5</f>
        <v>1.6374147414139537E-2</v>
      </c>
      <c r="Z41" s="89">
        <f>Z32/Z5</f>
        <v>1.7399877943112915E-2</v>
      </c>
      <c r="AA41" s="64"/>
      <c r="AB41" s="64"/>
      <c r="AC41" s="64"/>
      <c r="AD41" s="125"/>
      <c r="AE41" s="125"/>
    </row>
    <row r="42" spans="1:31" s="8" customFormat="1" x14ac:dyDescent="0.35">
      <c r="A42" s="8" t="s">
        <v>158</v>
      </c>
      <c r="B42" s="28">
        <f t="shared" ref="B42:H42" si="43">B34/B36</f>
        <v>6.0445045812048976E-3</v>
      </c>
      <c r="C42" s="28">
        <f t="shared" si="43"/>
        <v>4.903972156318887E-3</v>
      </c>
      <c r="D42" s="28">
        <f t="shared" si="43"/>
        <v>5.9984869103693484E-3</v>
      </c>
      <c r="E42" s="28">
        <f t="shared" si="43"/>
        <v>7.7686357341317626E-3</v>
      </c>
      <c r="F42" s="28">
        <f t="shared" si="43"/>
        <v>1.1968134676085981E-2</v>
      </c>
      <c r="G42" s="100">
        <f t="shared" si="43"/>
        <v>1.771762466009395E-2</v>
      </c>
      <c r="H42" s="100">
        <f t="shared" si="43"/>
        <v>1.0727854962723285E-2</v>
      </c>
      <c r="I42" s="28"/>
      <c r="M42" s="88">
        <f t="shared" ref="M42:X42" si="44">M34/M36</f>
        <v>7.0851765073251249E-3</v>
      </c>
      <c r="N42" s="88">
        <f t="shared" si="44"/>
        <v>6.2711882655196692E-3</v>
      </c>
      <c r="O42" s="88">
        <f t="shared" si="44"/>
        <v>1.137139144140073E-2</v>
      </c>
      <c r="P42" s="88">
        <f t="shared" si="44"/>
        <v>1.1968134676085977E-2</v>
      </c>
      <c r="Q42" s="88">
        <f t="shared" si="44"/>
        <v>1.446863984240984E-2</v>
      </c>
      <c r="R42" s="88">
        <f t="shared" si="44"/>
        <v>1.2393348387066619E-2</v>
      </c>
      <c r="S42" s="89">
        <f t="shared" si="44"/>
        <v>2.0019296987722514E-2</v>
      </c>
      <c r="T42" s="89">
        <f t="shared" si="44"/>
        <v>1.771762466009395E-2</v>
      </c>
      <c r="U42" s="89">
        <f t="shared" si="44"/>
        <v>1.6756267638636212E-2</v>
      </c>
      <c r="V42" s="89">
        <f t="shared" si="44"/>
        <v>1.4315782518113128E-2</v>
      </c>
      <c r="W42" s="89">
        <f t="shared" si="44"/>
        <v>1.2775116803952899E-2</v>
      </c>
      <c r="X42" s="89">
        <f t="shared" si="44"/>
        <v>1.0727854962723285E-2</v>
      </c>
      <c r="Y42" s="89">
        <f>Y34/Y36</f>
        <v>1.1397315409475983E-2</v>
      </c>
      <c r="Z42" s="89">
        <f>Z34/Z36</f>
        <v>1.2229464588699631E-2</v>
      </c>
      <c r="AA42" s="64"/>
      <c r="AB42" s="64"/>
      <c r="AC42" s="64"/>
    </row>
    <row r="43" spans="1:31" x14ac:dyDescent="0.35">
      <c r="X43" s="11"/>
      <c r="Y43" s="11"/>
      <c r="Z43" s="11"/>
    </row>
    <row r="44" spans="1:31" x14ac:dyDescent="0.35">
      <c r="A44" s="1" t="s">
        <v>156</v>
      </c>
      <c r="B44" s="26">
        <v>6.47</v>
      </c>
      <c r="C44" s="26">
        <v>10.210000000000001</v>
      </c>
      <c r="D44" s="26">
        <v>14.51</v>
      </c>
      <c r="E44" s="26">
        <v>9.11</v>
      </c>
      <c r="F44" s="29">
        <v>9.48</v>
      </c>
      <c r="G44" s="29">
        <v>11.28</v>
      </c>
      <c r="H44" s="29">
        <f>X44</f>
        <v>15.12</v>
      </c>
      <c r="I44" s="26"/>
      <c r="M44" s="26">
        <v>9.2200000000000006</v>
      </c>
      <c r="N44" s="26">
        <v>9.0299999999999994</v>
      </c>
      <c r="O44" s="26">
        <v>9.59</v>
      </c>
      <c r="P44" s="26">
        <f>F44</f>
        <v>9.48</v>
      </c>
      <c r="Q44" s="26">
        <v>8.26</v>
      </c>
      <c r="R44" s="26">
        <v>8.9</v>
      </c>
      <c r="S44" s="26">
        <v>8.92</v>
      </c>
      <c r="T44" s="35">
        <f>G44</f>
        <v>11.28</v>
      </c>
      <c r="U44" s="35">
        <v>11.62</v>
      </c>
      <c r="V44" s="35">
        <v>12.05</v>
      </c>
      <c r="W44" s="35">
        <v>13.8</v>
      </c>
      <c r="X44" s="35">
        <v>15.12</v>
      </c>
      <c r="Y44" s="35">
        <v>15.78</v>
      </c>
      <c r="Z44" s="35">
        <v>13.78</v>
      </c>
      <c r="AA44" s="69">
        <f>IFERROR(Z44/V44-1,"")</f>
        <v>0.14356846473029039</v>
      </c>
      <c r="AB44" s="69">
        <f>IFERROR(Z44/Y44-1,"")</f>
        <v>-0.1267427122940431</v>
      </c>
      <c r="AC44" s="75"/>
    </row>
    <row r="45" spans="1:31" x14ac:dyDescent="0.35">
      <c r="A45" s="1" t="s">
        <v>229</v>
      </c>
      <c r="B45" s="7">
        <f t="shared" ref="B45:H45" si="45">(B35+B44)/B32</f>
        <v>0.73934311670160724</v>
      </c>
      <c r="C45" s="7">
        <f t="shared" si="45"/>
        <v>0.82982151710461094</v>
      </c>
      <c r="D45" s="7">
        <f t="shared" si="45"/>
        <v>0.78732766207098837</v>
      </c>
      <c r="E45" s="7">
        <f t="shared" si="45"/>
        <v>0.87699771689497708</v>
      </c>
      <c r="F45" s="7">
        <f t="shared" si="45"/>
        <v>0.74391146285751053</v>
      </c>
      <c r="G45" s="7">
        <f t="shared" si="45"/>
        <v>0.47061257055051559</v>
      </c>
      <c r="H45" s="7">
        <f t="shared" si="45"/>
        <v>0.5948598946514565</v>
      </c>
      <c r="I45" s="7"/>
      <c r="M45" s="7">
        <f t="shared" ref="M45:Y45" si="46">(M35+M44)/M32</f>
        <v>1.1481185529565598</v>
      </c>
      <c r="N45" s="7">
        <f t="shared" si="46"/>
        <v>1.4792414518292902</v>
      </c>
      <c r="O45" s="11">
        <f t="shared" si="46"/>
        <v>0.90432739377325233</v>
      </c>
      <c r="P45" s="11">
        <f t="shared" si="46"/>
        <v>0.74391146285751064</v>
      </c>
      <c r="Q45" s="11">
        <f t="shared" si="46"/>
        <v>0.70307264668319436</v>
      </c>
      <c r="R45" s="11">
        <f t="shared" si="46"/>
        <v>0.77428169893816368</v>
      </c>
      <c r="S45" s="11">
        <f t="shared" si="46"/>
        <v>0.46218249316139121</v>
      </c>
      <c r="T45" s="11">
        <f t="shared" si="46"/>
        <v>0.47061257055051559</v>
      </c>
      <c r="U45" s="11">
        <f t="shared" si="46"/>
        <v>0.45778065351019087</v>
      </c>
      <c r="V45" s="11">
        <f t="shared" si="46"/>
        <v>0.50796615756510277</v>
      </c>
      <c r="W45" s="11">
        <f t="shared" si="46"/>
        <v>0.53570330095546137</v>
      </c>
      <c r="X45" s="11">
        <f t="shared" si="46"/>
        <v>0.5948598946514565</v>
      </c>
      <c r="Y45" s="11">
        <f t="shared" si="46"/>
        <v>0.57126944640403965</v>
      </c>
      <c r="Z45" s="11">
        <f>(Z35+Z44)/Z32</f>
        <v>0.52333811689733167</v>
      </c>
      <c r="AD45" s="116"/>
    </row>
    <row r="46" spans="1:31" x14ac:dyDescent="0.35">
      <c r="A46" s="1" t="s">
        <v>230</v>
      </c>
      <c r="B46" s="7">
        <f>B45</f>
        <v>0.73934311670160724</v>
      </c>
      <c r="C46" s="7">
        <f>C45</f>
        <v>0.82982151710461094</v>
      </c>
      <c r="D46" s="7">
        <f>D45</f>
        <v>0.78732766207098837</v>
      </c>
      <c r="E46" s="7">
        <f>E45</f>
        <v>0.87699771689497708</v>
      </c>
      <c r="F46" s="7">
        <f>F45</f>
        <v>0.74391146285751053</v>
      </c>
      <c r="G46" s="7">
        <f>T46</f>
        <v>0.83599999999999997</v>
      </c>
      <c r="H46" s="7">
        <f>X46</f>
        <v>1.048</v>
      </c>
      <c r="I46" s="7"/>
      <c r="M46" s="11">
        <f t="shared" ref="M46:Q46" si="47">M45</f>
        <v>1.1481185529565598</v>
      </c>
      <c r="N46" s="11">
        <f t="shared" si="47"/>
        <v>1.4792414518292902</v>
      </c>
      <c r="O46" s="11">
        <f t="shared" si="47"/>
        <v>0.90432739377325233</v>
      </c>
      <c r="P46" s="11">
        <f t="shared" si="47"/>
        <v>0.74391146285751064</v>
      </c>
      <c r="Q46" s="11">
        <f t="shared" si="47"/>
        <v>0.70307264668319436</v>
      </c>
      <c r="R46" s="11">
        <f>R45</f>
        <v>0.77428169893816368</v>
      </c>
      <c r="S46" s="11">
        <v>0.69099999999999995</v>
      </c>
      <c r="T46" s="11">
        <v>0.83599999999999997</v>
      </c>
      <c r="U46" s="11">
        <v>0.81</v>
      </c>
      <c r="V46" s="11">
        <v>0.91020000000000001</v>
      </c>
      <c r="W46" s="11">
        <v>0.87419999999999998</v>
      </c>
      <c r="X46" s="11">
        <v>1.048</v>
      </c>
      <c r="Y46" s="11">
        <v>0.90800000000000003</v>
      </c>
      <c r="Z46" s="11">
        <v>0.84599999999999997</v>
      </c>
    </row>
    <row r="47" spans="1:31" s="5" customFormat="1" x14ac:dyDescent="0.35">
      <c r="A47" s="5" t="s">
        <v>79</v>
      </c>
      <c r="B47" s="6" t="str">
        <f t="shared" ref="B47:I47" si="48">B1</f>
        <v>FY17</v>
      </c>
      <c r="C47" s="6" t="str">
        <f t="shared" si="48"/>
        <v>FY18</v>
      </c>
      <c r="D47" s="6" t="str">
        <f t="shared" si="48"/>
        <v>FY19</v>
      </c>
      <c r="E47" s="6" t="str">
        <f t="shared" si="48"/>
        <v>FY20</v>
      </c>
      <c r="F47" s="6" t="str">
        <f t="shared" si="48"/>
        <v>FY21</v>
      </c>
      <c r="G47" s="6" t="str">
        <f t="shared" si="48"/>
        <v>FY22</v>
      </c>
      <c r="H47" s="6" t="str">
        <f t="shared" si="48"/>
        <v>FY23</v>
      </c>
      <c r="I47" s="6" t="str">
        <f t="shared" si="48"/>
        <v>Yoy%</v>
      </c>
      <c r="M47" s="6" t="s">
        <v>38</v>
      </c>
      <c r="N47" s="6" t="str">
        <f>N1</f>
        <v>Q2FY21</v>
      </c>
      <c r="O47" s="80" t="str">
        <f>O1</f>
        <v>Q3FY21</v>
      </c>
      <c r="P47" s="6" t="s">
        <v>74</v>
      </c>
      <c r="Q47" s="6" t="s">
        <v>190</v>
      </c>
      <c r="R47" s="80" t="str">
        <f t="shared" ref="R47:AB47" si="49">R1</f>
        <v>Q2FY22</v>
      </c>
      <c r="S47" s="80" t="str">
        <f t="shared" si="49"/>
        <v>Q3FY22</v>
      </c>
      <c r="T47" s="80" t="str">
        <f t="shared" si="49"/>
        <v>Q4FY22</v>
      </c>
      <c r="U47" s="80" t="str">
        <f t="shared" si="49"/>
        <v>Q1FY23</v>
      </c>
      <c r="V47" s="80" t="str">
        <f t="shared" si="49"/>
        <v>Q2FY23</v>
      </c>
      <c r="W47" s="80" t="str">
        <f t="shared" si="49"/>
        <v>Q3FY23</v>
      </c>
      <c r="X47" s="80" t="str">
        <f t="shared" si="49"/>
        <v>Q4FY23</v>
      </c>
      <c r="Y47" s="80" t="str">
        <f t="shared" si="49"/>
        <v>Q1FY24</v>
      </c>
      <c r="Z47" s="80" t="str">
        <f t="shared" ref="Z47" si="50">Z1</f>
        <v>Q2FY24</v>
      </c>
      <c r="AA47" s="6" t="str">
        <f t="shared" si="49"/>
        <v>y-o-y</v>
      </c>
      <c r="AB47" s="6" t="str">
        <f t="shared" si="49"/>
        <v>q-o-q</v>
      </c>
      <c r="AC47" s="6"/>
    </row>
    <row r="48" spans="1:31" s="8" customFormat="1" x14ac:dyDescent="0.35">
      <c r="B48" s="9"/>
      <c r="C48" s="9"/>
      <c r="D48" s="9"/>
      <c r="E48" s="9"/>
      <c r="F48" s="9"/>
      <c r="G48" s="9"/>
      <c r="H48" s="9"/>
      <c r="I48" s="9"/>
      <c r="M48" s="9"/>
      <c r="N48" s="9"/>
      <c r="O48" s="85"/>
      <c r="P48" s="86"/>
      <c r="Q48" s="86"/>
      <c r="R48" s="85"/>
      <c r="S48" s="85"/>
      <c r="T48" s="85"/>
      <c r="U48" s="85"/>
      <c r="V48" s="85"/>
      <c r="W48" s="85"/>
      <c r="X48" s="85"/>
      <c r="Y48" s="85"/>
      <c r="Z48" s="85"/>
      <c r="AA48" s="64"/>
      <c r="AB48" s="64"/>
      <c r="AC48" s="64"/>
    </row>
    <row r="49" spans="1:30" x14ac:dyDescent="0.35">
      <c r="A49" s="1" t="s">
        <v>41</v>
      </c>
      <c r="B49" s="26">
        <v>851.78</v>
      </c>
      <c r="C49" s="26">
        <v>1274.4700000000003</v>
      </c>
      <c r="D49" s="26">
        <v>2289.1499999999992</v>
      </c>
      <c r="E49" s="26">
        <v>3424.9799999999996</v>
      </c>
      <c r="F49" s="26">
        <v>4061.31</v>
      </c>
      <c r="G49" s="26">
        <v>4770.4399999999996</v>
      </c>
      <c r="H49" s="26">
        <f>SUM(U49:X49)</f>
        <v>6824.9699999999993</v>
      </c>
      <c r="I49" s="38">
        <f t="shared" ref="I49:I64" si="51">H49/G49-1</f>
        <v>0.43067935033246418</v>
      </c>
      <c r="J49" s="44"/>
      <c r="K49" s="17"/>
      <c r="M49" s="26">
        <v>1016.46</v>
      </c>
      <c r="N49" s="26">
        <v>977.49</v>
      </c>
      <c r="O49" s="26">
        <v>1022.08</v>
      </c>
      <c r="P49" s="26">
        <v>1045.28</v>
      </c>
      <c r="Q49" s="26">
        <v>1091.27</v>
      </c>
      <c r="R49" s="26">
        <v>1154.3800000000001</v>
      </c>
      <c r="S49" s="26">
        <v>1214.5</v>
      </c>
      <c r="T49" s="26">
        <v>1310.29</v>
      </c>
      <c r="U49" s="26">
        <v>1449.89</v>
      </c>
      <c r="V49" s="26">
        <v>1637.1899999999998</v>
      </c>
      <c r="W49" s="26">
        <v>1800.6499999999999</v>
      </c>
      <c r="X49" s="26">
        <v>1937.2399999999998</v>
      </c>
      <c r="Y49" s="26">
        <v>2166.17</v>
      </c>
      <c r="Z49" s="26">
        <v>2347.760000000002</v>
      </c>
      <c r="AA49" s="69">
        <f t="shared" ref="AA49:AA64" si="52">IFERROR(Z49/V49-1,"")</f>
        <v>0.43401804311045278</v>
      </c>
      <c r="AB49" s="69">
        <f t="shared" ref="AB49:AB64" si="53">IFERROR(Z49/Y49-1,"")</f>
        <v>8.3829985642863702E-2</v>
      </c>
      <c r="AC49" s="69"/>
      <c r="AD49" s="119"/>
    </row>
    <row r="50" spans="1:30" x14ac:dyDescent="0.35">
      <c r="A50" t="s">
        <v>42</v>
      </c>
      <c r="B50" s="26">
        <v>25.92</v>
      </c>
      <c r="C50" s="26">
        <v>0</v>
      </c>
      <c r="D50" s="26">
        <v>214.76</v>
      </c>
      <c r="E50" s="26">
        <v>371.22</v>
      </c>
      <c r="F50" s="26">
        <v>439.35</v>
      </c>
      <c r="G50" s="26">
        <v>678.34</v>
      </c>
      <c r="H50" s="26">
        <f t="shared" ref="H50:H51" si="54">SUM(U50:X50)</f>
        <v>380.37</v>
      </c>
      <c r="I50" s="38">
        <f t="shared" si="51"/>
        <v>-0.43926349618185567</v>
      </c>
      <c r="J50" s="44"/>
      <c r="K50" s="17"/>
      <c r="M50" s="26">
        <v>257.63</v>
      </c>
      <c r="N50" s="26">
        <v>0</v>
      </c>
      <c r="O50" s="26">
        <v>0</v>
      </c>
      <c r="P50" s="26">
        <f>F50-SUM(M50:O50)</f>
        <v>181.72000000000003</v>
      </c>
      <c r="Q50" s="26">
        <v>193.65</v>
      </c>
      <c r="R50" s="26">
        <v>170.73999999999998</v>
      </c>
      <c r="S50" s="26">
        <v>175.77</v>
      </c>
      <c r="T50" s="26">
        <f>G50-SUM(Q50:S50)</f>
        <v>138.18000000000006</v>
      </c>
      <c r="U50" s="26">
        <v>99</v>
      </c>
      <c r="V50" s="26">
        <v>93.300000000000011</v>
      </c>
      <c r="W50" s="26">
        <v>76.039999999999964</v>
      </c>
      <c r="X50" s="26">
        <v>112.03000000000003</v>
      </c>
      <c r="Y50" s="26">
        <v>125.71</v>
      </c>
      <c r="Z50" s="26">
        <v>151.40000000000003</v>
      </c>
      <c r="AA50" s="69">
        <f t="shared" si="52"/>
        <v>0.62272240085744923</v>
      </c>
      <c r="AB50" s="69">
        <f t="shared" si="53"/>
        <v>0.2043592395195295</v>
      </c>
      <c r="AC50" s="69"/>
      <c r="AD50" s="119"/>
    </row>
    <row r="51" spans="1:30" x14ac:dyDescent="0.35">
      <c r="A51" s="1" t="s">
        <v>43</v>
      </c>
      <c r="B51" s="26">
        <v>38.07</v>
      </c>
      <c r="C51" s="26">
        <v>67.899999999999991</v>
      </c>
      <c r="D51" s="26">
        <v>206.33</v>
      </c>
      <c r="E51" s="26">
        <v>400.55</v>
      </c>
      <c r="F51" s="26">
        <f>F80</f>
        <v>390.95</v>
      </c>
      <c r="G51" s="26">
        <f>G80</f>
        <v>508.22999999999996</v>
      </c>
      <c r="H51" s="26">
        <f t="shared" si="54"/>
        <v>750.64000000000033</v>
      </c>
      <c r="I51" s="38">
        <f t="shared" si="51"/>
        <v>0.47696908879837951</v>
      </c>
      <c r="J51" s="44"/>
      <c r="K51" s="17"/>
      <c r="M51" s="26">
        <f t="shared" ref="M51:U51" si="55">M80</f>
        <v>68.119999999999976</v>
      </c>
      <c r="N51" s="26">
        <f t="shared" si="55"/>
        <v>110.56</v>
      </c>
      <c r="O51" s="26">
        <f t="shared" si="55"/>
        <v>80.789999999999992</v>
      </c>
      <c r="P51" s="26">
        <f t="shared" si="55"/>
        <v>131.47999999999999</v>
      </c>
      <c r="Q51" s="26">
        <f t="shared" si="55"/>
        <v>133</v>
      </c>
      <c r="R51" s="26">
        <f t="shared" si="55"/>
        <v>136.07</v>
      </c>
      <c r="S51" s="26">
        <f t="shared" si="55"/>
        <v>126.77</v>
      </c>
      <c r="T51" s="26">
        <f t="shared" si="55"/>
        <v>112.39</v>
      </c>
      <c r="U51" s="26">
        <f t="shared" si="55"/>
        <v>144.56</v>
      </c>
      <c r="V51" s="26">
        <v>163.59</v>
      </c>
      <c r="W51" s="26">
        <v>178.72999999999996</v>
      </c>
      <c r="X51" s="26">
        <v>263.76000000000039</v>
      </c>
      <c r="Y51" s="26">
        <v>306.18999999999994</v>
      </c>
      <c r="Z51" s="26">
        <v>280.64999999999998</v>
      </c>
      <c r="AA51" s="69">
        <f t="shared" si="52"/>
        <v>0.71556941133321095</v>
      </c>
      <c r="AB51" s="69">
        <f t="shared" si="53"/>
        <v>-8.3412260361213519E-2</v>
      </c>
      <c r="AC51" s="69"/>
      <c r="AD51" s="119"/>
    </row>
    <row r="52" spans="1:30" s="2" customFormat="1" x14ac:dyDescent="0.35">
      <c r="A52" s="2" t="s">
        <v>26</v>
      </c>
      <c r="B52" s="4">
        <f t="shared" ref="B52:G52" si="56">SUM(B49:B51)</f>
        <v>915.77</v>
      </c>
      <c r="C52" s="4">
        <f t="shared" si="56"/>
        <v>1342.3700000000003</v>
      </c>
      <c r="D52" s="4">
        <f t="shared" si="56"/>
        <v>2710.2399999999989</v>
      </c>
      <c r="E52" s="4">
        <f t="shared" si="56"/>
        <v>4196.75</v>
      </c>
      <c r="F52" s="4">
        <f t="shared" si="56"/>
        <v>4891.6099999999997</v>
      </c>
      <c r="G52" s="4">
        <f t="shared" si="56"/>
        <v>5957.0099999999993</v>
      </c>
      <c r="H52" s="4">
        <f t="shared" ref="H52" si="57">SUM(H49:H51)</f>
        <v>7955.98</v>
      </c>
      <c r="I52" s="95">
        <f t="shared" si="51"/>
        <v>0.33556599703542567</v>
      </c>
      <c r="J52" s="44"/>
      <c r="K52" s="17"/>
      <c r="M52" s="4">
        <f t="shared" ref="M52:T52" si="58">SUM(M49:M51)</f>
        <v>1342.21</v>
      </c>
      <c r="N52" s="4">
        <f t="shared" si="58"/>
        <v>1088.05</v>
      </c>
      <c r="O52" s="4">
        <f t="shared" si="58"/>
        <v>1102.8700000000001</v>
      </c>
      <c r="P52" s="4">
        <f t="shared" si="58"/>
        <v>1358.48</v>
      </c>
      <c r="Q52" s="4">
        <f t="shared" si="58"/>
        <v>1417.92</v>
      </c>
      <c r="R52" s="4">
        <f t="shared" si="58"/>
        <v>1461.19</v>
      </c>
      <c r="S52" s="4">
        <f>SUM(S49:S51)</f>
        <v>1517.04</v>
      </c>
      <c r="T52" s="4">
        <f t="shared" si="58"/>
        <v>1560.8600000000001</v>
      </c>
      <c r="U52" s="4">
        <f t="shared" ref="U52" si="59">SUM(U49:U51)</f>
        <v>1693.45</v>
      </c>
      <c r="V52" s="4">
        <f>SUM(V49:V51)</f>
        <v>1894.0799999999997</v>
      </c>
      <c r="W52" s="4">
        <f>SUM(W49:W51)</f>
        <v>2055.4199999999996</v>
      </c>
      <c r="X52" s="4">
        <f>SUM(X49:X51)</f>
        <v>2313.0300000000002</v>
      </c>
      <c r="Y52" s="4">
        <f>SUM(Y49:Y51)</f>
        <v>2598.0700000000002</v>
      </c>
      <c r="Z52" s="4">
        <f>SUM(Z49:Z51)</f>
        <v>2779.8100000000022</v>
      </c>
      <c r="AA52" s="71">
        <f t="shared" si="52"/>
        <v>0.46763072309511888</v>
      </c>
      <c r="AB52" s="71">
        <f t="shared" si="53"/>
        <v>6.9951925852652863E-2</v>
      </c>
      <c r="AC52" s="71"/>
      <c r="AD52" s="1"/>
    </row>
    <row r="53" spans="1:30" x14ac:dyDescent="0.35">
      <c r="A53" s="1" t="s">
        <v>129</v>
      </c>
      <c r="B53" s="26">
        <v>532.85</v>
      </c>
      <c r="C53" s="26">
        <v>647.11</v>
      </c>
      <c r="D53" s="26">
        <v>1248.83</v>
      </c>
      <c r="E53" s="26">
        <v>1912.23</v>
      </c>
      <c r="F53" s="26">
        <v>2165.84</v>
      </c>
      <c r="G53" s="26">
        <v>2148.15</v>
      </c>
      <c r="H53" s="26">
        <f>SUM(U53:X53)</f>
        <v>3032.5600000000004</v>
      </c>
      <c r="I53" s="38">
        <f t="shared" si="51"/>
        <v>0.41170774852780312</v>
      </c>
      <c r="J53" s="44"/>
      <c r="K53" s="17"/>
      <c r="M53" s="26">
        <v>538.04</v>
      </c>
      <c r="N53" s="26">
        <f>1099.79-M53</f>
        <v>561.75</v>
      </c>
      <c r="O53" s="26">
        <v>531.54999999999995</v>
      </c>
      <c r="P53" s="26">
        <v>534.5</v>
      </c>
      <c r="Q53" s="26">
        <v>526.91999999999996</v>
      </c>
      <c r="R53" s="26">
        <f>1067.71-Q53</f>
        <v>540.79000000000008</v>
      </c>
      <c r="S53" s="26">
        <v>544.54</v>
      </c>
      <c r="T53" s="26">
        <f>G53-SUM(Q53:S53)</f>
        <v>535.90000000000009</v>
      </c>
      <c r="U53" s="26">
        <v>604.64</v>
      </c>
      <c r="V53" s="26">
        <v>709.02</v>
      </c>
      <c r="W53" s="26">
        <v>792.9799999999999</v>
      </c>
      <c r="X53" s="26">
        <v>925.92000000000053</v>
      </c>
      <c r="Y53" s="26">
        <v>1064.93</v>
      </c>
      <c r="Z53" s="26">
        <v>1167.3499999999997</v>
      </c>
      <c r="AA53" s="69">
        <f t="shared" si="52"/>
        <v>0.64642746325914602</v>
      </c>
      <c r="AB53" s="69">
        <f t="shared" si="53"/>
        <v>9.6175335468058565E-2</v>
      </c>
      <c r="AC53" s="69"/>
      <c r="AD53" s="119"/>
    </row>
    <row r="54" spans="1:30" s="2" customFormat="1" x14ac:dyDescent="0.35">
      <c r="A54" s="2" t="s">
        <v>25</v>
      </c>
      <c r="B54" s="4">
        <f t="shared" ref="B54:G54" si="60">B49-B53</f>
        <v>318.92999999999995</v>
      </c>
      <c r="C54" s="4">
        <f t="shared" si="60"/>
        <v>627.36000000000024</v>
      </c>
      <c r="D54" s="4">
        <f t="shared" si="60"/>
        <v>1040.3199999999993</v>
      </c>
      <c r="E54" s="4">
        <f t="shared" si="60"/>
        <v>1512.7499999999995</v>
      </c>
      <c r="F54" s="4">
        <f t="shared" si="60"/>
        <v>1895.4699999999998</v>
      </c>
      <c r="G54" s="4">
        <f t="shared" si="60"/>
        <v>2622.2899999999995</v>
      </c>
      <c r="H54" s="4">
        <f t="shared" ref="H54" si="61">H49-H53</f>
        <v>3792.4099999999989</v>
      </c>
      <c r="I54" s="95">
        <f t="shared" si="51"/>
        <v>0.44622066971997754</v>
      </c>
      <c r="J54" s="44"/>
      <c r="K54" s="17"/>
      <c r="M54" s="4">
        <f t="shared" ref="M54:T54" si="62">M49-M53</f>
        <v>478.42000000000007</v>
      </c>
      <c r="N54" s="4">
        <f t="shared" si="62"/>
        <v>415.74</v>
      </c>
      <c r="O54" s="4">
        <f t="shared" si="62"/>
        <v>490.53000000000009</v>
      </c>
      <c r="P54" s="4">
        <f t="shared" si="62"/>
        <v>510.78</v>
      </c>
      <c r="Q54" s="4">
        <f t="shared" si="62"/>
        <v>564.35</v>
      </c>
      <c r="R54" s="4">
        <f t="shared" si="62"/>
        <v>613.59</v>
      </c>
      <c r="S54" s="4">
        <f>S49-S53</f>
        <v>669.96</v>
      </c>
      <c r="T54" s="4">
        <f t="shared" si="62"/>
        <v>774.38999999999987</v>
      </c>
      <c r="U54" s="4">
        <f t="shared" ref="U54:V54" si="63">U49-U53</f>
        <v>845.25000000000011</v>
      </c>
      <c r="V54" s="4">
        <f t="shared" si="63"/>
        <v>928.16999999999985</v>
      </c>
      <c r="W54" s="4">
        <f t="shared" ref="W54:X54" si="64">W49-W53</f>
        <v>1007.67</v>
      </c>
      <c r="X54" s="4">
        <f t="shared" si="64"/>
        <v>1011.3199999999993</v>
      </c>
      <c r="Y54" s="4">
        <f t="shared" ref="Y54:Z54" si="65">Y49-Y53</f>
        <v>1101.24</v>
      </c>
      <c r="Z54" s="4">
        <f t="shared" si="65"/>
        <v>1180.4100000000024</v>
      </c>
      <c r="AA54" s="71">
        <f t="shared" si="52"/>
        <v>0.27176056110411073</v>
      </c>
      <c r="AB54" s="71">
        <f t="shared" si="53"/>
        <v>7.1891685736081401E-2</v>
      </c>
      <c r="AC54" s="71"/>
      <c r="AD54" s="1"/>
    </row>
    <row r="55" spans="1:30" s="2" customFormat="1" x14ac:dyDescent="0.35">
      <c r="A55" s="2" t="s">
        <v>186</v>
      </c>
      <c r="B55" s="4">
        <f t="shared" ref="B55:G55" si="66">B52-B53</f>
        <v>382.91999999999996</v>
      </c>
      <c r="C55" s="4">
        <f t="shared" si="66"/>
        <v>695.26000000000033</v>
      </c>
      <c r="D55" s="4">
        <f t="shared" si="66"/>
        <v>1461.4099999999989</v>
      </c>
      <c r="E55" s="4">
        <f t="shared" si="66"/>
        <v>2284.52</v>
      </c>
      <c r="F55" s="4">
        <f t="shared" si="66"/>
        <v>2725.7699999999995</v>
      </c>
      <c r="G55" s="4">
        <f t="shared" si="66"/>
        <v>3808.8599999999992</v>
      </c>
      <c r="H55" s="4">
        <f t="shared" ref="H55" si="67">H52-H53</f>
        <v>4923.4199999999992</v>
      </c>
      <c r="I55" s="95">
        <f t="shared" si="51"/>
        <v>0.29262298955593025</v>
      </c>
      <c r="J55" s="44"/>
      <c r="K55" s="17"/>
      <c r="M55" s="4">
        <f t="shared" ref="M55:T55" si="68">M52-M53</f>
        <v>804.17000000000007</v>
      </c>
      <c r="N55" s="4">
        <f t="shared" si="68"/>
        <v>526.29999999999995</v>
      </c>
      <c r="O55" s="4">
        <f t="shared" si="68"/>
        <v>571.32000000000016</v>
      </c>
      <c r="P55" s="4">
        <f t="shared" si="68"/>
        <v>823.98</v>
      </c>
      <c r="Q55" s="4">
        <f t="shared" si="68"/>
        <v>891.00000000000011</v>
      </c>
      <c r="R55" s="4">
        <f t="shared" si="68"/>
        <v>920.4</v>
      </c>
      <c r="S55" s="4">
        <f>S52-S53</f>
        <v>972.5</v>
      </c>
      <c r="T55" s="4">
        <f t="shared" si="68"/>
        <v>1024.96</v>
      </c>
      <c r="U55" s="4">
        <f t="shared" ref="U55:V55" si="69">U52-U53</f>
        <v>1088.81</v>
      </c>
      <c r="V55" s="4">
        <f t="shared" si="69"/>
        <v>1185.0599999999997</v>
      </c>
      <c r="W55" s="4">
        <f t="shared" ref="W55:X55" si="70">W52-W53</f>
        <v>1262.4399999999996</v>
      </c>
      <c r="X55" s="4">
        <f t="shared" si="70"/>
        <v>1387.1099999999997</v>
      </c>
      <c r="Y55" s="4">
        <f t="shared" ref="Y55:Z55" si="71">Y52-Y53</f>
        <v>1533.14</v>
      </c>
      <c r="Z55" s="4">
        <f t="shared" si="71"/>
        <v>1612.4600000000025</v>
      </c>
      <c r="AA55" s="71">
        <f t="shared" si="52"/>
        <v>0.36065684437918999</v>
      </c>
      <c r="AB55" s="71">
        <f t="shared" si="53"/>
        <v>5.1736958138201672E-2</v>
      </c>
      <c r="AC55" s="71"/>
      <c r="AD55" s="1"/>
    </row>
    <row r="56" spans="1:30" x14ac:dyDescent="0.35">
      <c r="A56" s="1" t="s">
        <v>44</v>
      </c>
      <c r="B56" s="3">
        <f t="shared" ref="B56:G56" si="72">SUM(B57:B60)</f>
        <v>262</v>
      </c>
      <c r="C56" s="3">
        <f t="shared" si="72"/>
        <v>423.82000000000005</v>
      </c>
      <c r="D56" s="3">
        <f t="shared" si="72"/>
        <v>735.41</v>
      </c>
      <c r="E56" s="3">
        <f t="shared" si="72"/>
        <v>1046.1500000000001</v>
      </c>
      <c r="F56" s="3">
        <f t="shared" si="72"/>
        <v>1063.8100000000002</v>
      </c>
      <c r="G56" s="3">
        <f t="shared" si="72"/>
        <v>1295.69</v>
      </c>
      <c r="H56" s="3">
        <f t="shared" ref="H56" si="73">SUM(H57:H60)</f>
        <v>1755.9900000000002</v>
      </c>
      <c r="I56" s="96">
        <f t="shared" si="51"/>
        <v>0.35525472914045819</v>
      </c>
      <c r="J56" s="44"/>
      <c r="K56" s="17"/>
      <c r="M56" s="3">
        <f t="shared" ref="M56:T56" si="74">SUM(M57:M60)</f>
        <v>231.95000000000002</v>
      </c>
      <c r="N56" s="3">
        <f t="shared" si="74"/>
        <v>231.06999999999996</v>
      </c>
      <c r="O56" s="3">
        <f t="shared" si="74"/>
        <v>285.40000000000003</v>
      </c>
      <c r="P56" s="3">
        <f t="shared" si="74"/>
        <v>315.39000000000004</v>
      </c>
      <c r="Q56" s="3">
        <f t="shared" si="74"/>
        <v>284.3</v>
      </c>
      <c r="R56" s="3">
        <f t="shared" si="74"/>
        <v>324.04999999999995</v>
      </c>
      <c r="S56" s="3">
        <f>SUM(S57:S60)</f>
        <v>321.33000000000004</v>
      </c>
      <c r="T56" s="3">
        <f t="shared" si="74"/>
        <v>366.01000000000005</v>
      </c>
      <c r="U56" s="3">
        <f t="shared" ref="U56:V56" si="75">SUM(U57:U60)</f>
        <v>389.69</v>
      </c>
      <c r="V56" s="3">
        <f t="shared" si="75"/>
        <v>443.65</v>
      </c>
      <c r="W56" s="3">
        <f t="shared" ref="W56:X56" si="76">SUM(W57:W60)</f>
        <v>445.14000000000004</v>
      </c>
      <c r="X56" s="3">
        <f t="shared" si="76"/>
        <v>477.51000000000016</v>
      </c>
      <c r="Y56" s="3">
        <f t="shared" ref="Y56:Z56" si="77">SUM(Y57:Y60)</f>
        <v>555.98</v>
      </c>
      <c r="Z56" s="3">
        <f t="shared" si="77"/>
        <v>568.06999999999994</v>
      </c>
      <c r="AA56" s="69">
        <f t="shared" si="52"/>
        <v>0.28044629775724106</v>
      </c>
      <c r="AB56" s="69">
        <f t="shared" si="53"/>
        <v>2.1745386524695043E-2</v>
      </c>
      <c r="AC56" s="69"/>
      <c r="AD56" s="119"/>
    </row>
    <row r="57" spans="1:30" s="15" customFormat="1" x14ac:dyDescent="0.35">
      <c r="A57" s="15" t="s">
        <v>27</v>
      </c>
      <c r="B57" s="36">
        <v>149.97000000000003</v>
      </c>
      <c r="C57" s="36">
        <v>249.55000000000007</v>
      </c>
      <c r="D57" s="36">
        <v>431.74</v>
      </c>
      <c r="E57" s="36">
        <v>610.75</v>
      </c>
      <c r="F57" s="36">
        <v>661.26</v>
      </c>
      <c r="G57" s="36">
        <v>807.7</v>
      </c>
      <c r="H57" s="36">
        <f t="shared" ref="H57:H65" si="78">SUM(U57:X57)</f>
        <v>1070.1300000000001</v>
      </c>
      <c r="I57" s="38">
        <f t="shared" si="51"/>
        <v>0.32491023895010529</v>
      </c>
      <c r="J57" s="44"/>
      <c r="K57" s="17"/>
      <c r="L57" s="52"/>
      <c r="M57" s="36">
        <v>145.70000000000002</v>
      </c>
      <c r="N57" s="36">
        <f>298.01-M57</f>
        <v>152.30999999999997</v>
      </c>
      <c r="O57" s="36">
        <v>173.9</v>
      </c>
      <c r="P57" s="36">
        <f t="shared" ref="P57:P64" si="79">F57-SUM(M57:O57)</f>
        <v>189.35000000000002</v>
      </c>
      <c r="Q57" s="36">
        <v>185.51000000000002</v>
      </c>
      <c r="R57" s="36">
        <f>377.04-Q57</f>
        <v>191.53</v>
      </c>
      <c r="S57" s="36">
        <v>201.23</v>
      </c>
      <c r="T57" s="36">
        <f>G57-SUM(Q57:S57)</f>
        <v>229.43000000000006</v>
      </c>
      <c r="U57" s="36">
        <v>255.82</v>
      </c>
      <c r="V57" s="36">
        <v>265.70999999999998</v>
      </c>
      <c r="W57" s="36">
        <v>273.7</v>
      </c>
      <c r="X57" s="36">
        <v>274.90000000000009</v>
      </c>
      <c r="Y57" s="36">
        <v>359.05</v>
      </c>
      <c r="Z57" s="36">
        <v>368.71999999999997</v>
      </c>
      <c r="AA57" s="69">
        <f t="shared" si="52"/>
        <v>0.38767829588649283</v>
      </c>
      <c r="AB57" s="69">
        <f t="shared" si="53"/>
        <v>2.6932182147333172E-2</v>
      </c>
      <c r="AC57" s="65"/>
      <c r="AD57" s="119"/>
    </row>
    <row r="58" spans="1:30" s="15" customFormat="1" x14ac:dyDescent="0.35">
      <c r="A58" s="15" t="s">
        <v>28</v>
      </c>
      <c r="B58" s="36">
        <v>88.89</v>
      </c>
      <c r="C58" s="36">
        <v>137.11000000000001</v>
      </c>
      <c r="D58" s="36">
        <v>241.29</v>
      </c>
      <c r="E58" s="36">
        <v>336.96</v>
      </c>
      <c r="F58" s="36">
        <v>318.16000000000003</v>
      </c>
      <c r="G58" s="36">
        <v>404.26</v>
      </c>
      <c r="H58" s="36">
        <f t="shared" si="78"/>
        <v>584.87000000000012</v>
      </c>
      <c r="I58" s="38">
        <f t="shared" si="51"/>
        <v>0.44676693217236463</v>
      </c>
      <c r="J58" s="44"/>
      <c r="K58" s="17"/>
      <c r="L58" s="47"/>
      <c r="M58" s="36">
        <v>64.3</v>
      </c>
      <c r="N58" s="36">
        <v>57.3</v>
      </c>
      <c r="O58" s="36">
        <v>90.64</v>
      </c>
      <c r="P58" s="36">
        <v>105.92</v>
      </c>
      <c r="Q58" s="36">
        <v>78.05</v>
      </c>
      <c r="R58" s="36">
        <v>111.38</v>
      </c>
      <c r="S58" s="36">
        <v>99.01</v>
      </c>
      <c r="T58" s="36">
        <v>115.82</v>
      </c>
      <c r="U58" s="36">
        <v>111.31</v>
      </c>
      <c r="V58" s="36">
        <v>152.91999999999999</v>
      </c>
      <c r="W58" s="36">
        <v>145.63000000000005</v>
      </c>
      <c r="X58" s="36">
        <v>175.01000000000005</v>
      </c>
      <c r="Y58" s="36">
        <v>167.67000000000002</v>
      </c>
      <c r="Z58" s="36">
        <v>168.14</v>
      </c>
      <c r="AA58" s="69">
        <f t="shared" si="52"/>
        <v>9.9529165576772272E-2</v>
      </c>
      <c r="AB58" s="69">
        <f t="shared" si="53"/>
        <v>2.8031251863778195E-3</v>
      </c>
      <c r="AC58" s="65"/>
      <c r="AD58" s="119"/>
    </row>
    <row r="59" spans="1:30" s="15" customFormat="1" x14ac:dyDescent="0.35">
      <c r="A59" s="15" t="s">
        <v>29</v>
      </c>
      <c r="B59" s="36">
        <v>15.55</v>
      </c>
      <c r="C59" s="36">
        <v>24.63</v>
      </c>
      <c r="D59" s="36">
        <v>45.77</v>
      </c>
      <c r="E59" s="36">
        <v>72.39</v>
      </c>
      <c r="F59" s="36">
        <v>76.239999999999995</v>
      </c>
      <c r="G59" s="36">
        <v>75.209999999999994</v>
      </c>
      <c r="H59" s="36">
        <f t="shared" si="78"/>
        <v>90.660000000000011</v>
      </c>
      <c r="I59" s="38">
        <f t="shared" si="51"/>
        <v>0.20542481053051476</v>
      </c>
      <c r="J59" s="44"/>
      <c r="K59" s="17"/>
      <c r="M59" s="36">
        <v>19.619999999999997</v>
      </c>
      <c r="N59" s="36">
        <f>38.99-M59</f>
        <v>19.370000000000005</v>
      </c>
      <c r="O59" s="36">
        <v>18.920000000000002</v>
      </c>
      <c r="P59" s="36">
        <f t="shared" si="79"/>
        <v>18.329999999999991</v>
      </c>
      <c r="Q59" s="36">
        <v>18.830000000000002</v>
      </c>
      <c r="R59" s="36">
        <f>37.89-Q59</f>
        <v>19.059999999999999</v>
      </c>
      <c r="S59" s="36">
        <v>18.8</v>
      </c>
      <c r="T59" s="36">
        <f>G59-SUM(Q59:S59)</f>
        <v>18.519999999999996</v>
      </c>
      <c r="U59" s="36">
        <v>20.2</v>
      </c>
      <c r="V59" s="36">
        <v>22.44</v>
      </c>
      <c r="W59" s="36">
        <v>23.27</v>
      </c>
      <c r="X59" s="36">
        <v>24.750000000000014</v>
      </c>
      <c r="Y59" s="36">
        <v>26.459999999999997</v>
      </c>
      <c r="Z59" s="36">
        <v>28.450000000000006</v>
      </c>
      <c r="AA59" s="69">
        <f t="shared" si="52"/>
        <v>0.26782531194295922</v>
      </c>
      <c r="AB59" s="69">
        <f t="shared" si="53"/>
        <v>7.520786092214693E-2</v>
      </c>
      <c r="AC59" s="65"/>
      <c r="AD59" s="119"/>
    </row>
    <row r="60" spans="1:30" s="15" customFormat="1" x14ac:dyDescent="0.35">
      <c r="A60" s="15" t="s">
        <v>154</v>
      </c>
      <c r="B60" s="36">
        <v>7.59</v>
      </c>
      <c r="C60" s="36">
        <v>12.530000000000001</v>
      </c>
      <c r="D60" s="36">
        <v>16.609999999999996</v>
      </c>
      <c r="E60" s="36">
        <v>26.05</v>
      </c>
      <c r="F60" s="36">
        <v>8.15</v>
      </c>
      <c r="G60" s="36">
        <v>8.52</v>
      </c>
      <c r="H60" s="36">
        <f t="shared" si="78"/>
        <v>10.33</v>
      </c>
      <c r="I60" s="38">
        <f t="shared" si="51"/>
        <v>0.21244131455399073</v>
      </c>
      <c r="J60" s="44"/>
      <c r="K60" s="17"/>
      <c r="M60" s="36">
        <v>2.33</v>
      </c>
      <c r="N60" s="36">
        <v>2.09</v>
      </c>
      <c r="O60" s="36">
        <v>1.94</v>
      </c>
      <c r="P60" s="36">
        <v>1.79</v>
      </c>
      <c r="Q60" s="36">
        <v>1.91</v>
      </c>
      <c r="R60" s="36">
        <v>2.08</v>
      </c>
      <c r="S60" s="36">
        <v>2.29</v>
      </c>
      <c r="T60" s="36">
        <v>2.2400000000000002</v>
      </c>
      <c r="U60" s="36">
        <v>2.36</v>
      </c>
      <c r="V60" s="36">
        <v>2.5800000000000005</v>
      </c>
      <c r="W60" s="36">
        <v>2.5400000000000005</v>
      </c>
      <c r="X60" s="36">
        <v>2.8499999999999996</v>
      </c>
      <c r="Y60" s="36">
        <v>2.8</v>
      </c>
      <c r="Z60" s="36">
        <v>2.76</v>
      </c>
      <c r="AA60" s="69">
        <f t="shared" si="52"/>
        <v>6.9767441860464796E-2</v>
      </c>
      <c r="AB60" s="69">
        <f t="shared" si="53"/>
        <v>-1.4285714285714346E-2</v>
      </c>
      <c r="AC60" s="65"/>
      <c r="AD60" s="119"/>
    </row>
    <row r="61" spans="1:30" s="2" customFormat="1" x14ac:dyDescent="0.35">
      <c r="A61" s="2" t="s">
        <v>210</v>
      </c>
      <c r="B61" s="4">
        <f t="shared" ref="B61:G61" si="80">B55-B56</f>
        <v>120.91999999999996</v>
      </c>
      <c r="C61" s="4">
        <f t="shared" si="80"/>
        <v>271.44000000000028</v>
      </c>
      <c r="D61" s="4">
        <f t="shared" si="80"/>
        <v>725.99999999999898</v>
      </c>
      <c r="E61" s="4">
        <f t="shared" si="80"/>
        <v>1238.3699999999999</v>
      </c>
      <c r="F61" s="4">
        <f t="shared" si="80"/>
        <v>1661.9599999999994</v>
      </c>
      <c r="G61" s="4">
        <f t="shared" si="80"/>
        <v>2513.1699999999992</v>
      </c>
      <c r="H61" s="4">
        <f t="shared" ref="H61" si="81">H55-H56</f>
        <v>3167.4299999999989</v>
      </c>
      <c r="I61" s="95">
        <f t="shared" si="51"/>
        <v>0.26033256803160953</v>
      </c>
      <c r="J61" s="44"/>
      <c r="K61" s="17"/>
      <c r="M61" s="4">
        <f>M55-M56</f>
        <v>572.22</v>
      </c>
      <c r="N61" s="4">
        <f t="shared" ref="N61:T61" si="82">N55-N56</f>
        <v>295.23</v>
      </c>
      <c r="O61" s="4">
        <f t="shared" si="82"/>
        <v>285.92000000000013</v>
      </c>
      <c r="P61" s="4">
        <f t="shared" si="82"/>
        <v>508.59</v>
      </c>
      <c r="Q61" s="4">
        <f t="shared" si="82"/>
        <v>606.70000000000005</v>
      </c>
      <c r="R61" s="4">
        <f t="shared" si="82"/>
        <v>596.35</v>
      </c>
      <c r="S61" s="4">
        <f>S55-S56</f>
        <v>651.16999999999996</v>
      </c>
      <c r="T61" s="4">
        <f t="shared" si="82"/>
        <v>658.95</v>
      </c>
      <c r="U61" s="4">
        <f t="shared" ref="U61:V61" si="83">U55-U56</f>
        <v>699.11999999999989</v>
      </c>
      <c r="V61" s="4">
        <f t="shared" si="83"/>
        <v>741.40999999999974</v>
      </c>
      <c r="W61" s="4">
        <f t="shared" ref="W61:X61" si="84">W55-W56</f>
        <v>817.2999999999995</v>
      </c>
      <c r="X61" s="4">
        <f t="shared" si="84"/>
        <v>909.59999999999945</v>
      </c>
      <c r="Y61" s="4">
        <f t="shared" ref="Y61:Z61" si="85">Y55-Y56</f>
        <v>977.16000000000008</v>
      </c>
      <c r="Z61" s="4">
        <f t="shared" si="85"/>
        <v>1044.3900000000026</v>
      </c>
      <c r="AA61" s="71">
        <f t="shared" si="52"/>
        <v>0.40865378130859176</v>
      </c>
      <c r="AB61" s="71">
        <f t="shared" si="53"/>
        <v>6.8801424536414135E-2</v>
      </c>
      <c r="AC61" s="71"/>
      <c r="AD61" s="1"/>
    </row>
    <row r="62" spans="1:30" x14ac:dyDescent="0.35">
      <c r="A62" s="1" t="s">
        <v>45</v>
      </c>
      <c r="B62" s="26">
        <v>17.37</v>
      </c>
      <c r="C62" s="26">
        <v>28.74</v>
      </c>
      <c r="D62" s="26">
        <v>73.13</v>
      </c>
      <c r="E62" s="26">
        <v>165.04</v>
      </c>
      <c r="F62" s="26">
        <v>321.52999999999997</v>
      </c>
      <c r="G62" s="26">
        <f>250.22</f>
        <v>250.22</v>
      </c>
      <c r="H62" s="26">
        <f t="shared" si="78"/>
        <v>215.23</v>
      </c>
      <c r="I62" s="38">
        <f t="shared" si="51"/>
        <v>-0.13983694348972908</v>
      </c>
      <c r="J62" s="44"/>
      <c r="K62" s="17"/>
      <c r="M62" s="26">
        <v>44.61</v>
      </c>
      <c r="N62" s="26">
        <f>164.13-M62</f>
        <v>119.52</v>
      </c>
      <c r="O62" s="26">
        <v>73.94</v>
      </c>
      <c r="P62" s="26">
        <f t="shared" si="79"/>
        <v>83.45999999999998</v>
      </c>
      <c r="Q62" s="26">
        <v>130.41999999999999</v>
      </c>
      <c r="R62" s="26">
        <f>163.69-Q62</f>
        <v>33.27000000000001</v>
      </c>
      <c r="S62" s="26">
        <v>59.7</v>
      </c>
      <c r="T62" s="26">
        <v>26.83</v>
      </c>
      <c r="U62" s="26">
        <v>36.15</v>
      </c>
      <c r="V62" s="26">
        <v>49.68</v>
      </c>
      <c r="W62" s="26">
        <v>59.85</v>
      </c>
      <c r="X62" s="26">
        <v>69.549999999999983</v>
      </c>
      <c r="Y62" s="26">
        <v>76.86</v>
      </c>
      <c r="Z62" s="26">
        <v>79.969999999999985</v>
      </c>
      <c r="AA62" s="69">
        <f t="shared" si="52"/>
        <v>0.60970209339774528</v>
      </c>
      <c r="AB62" s="69">
        <f t="shared" si="53"/>
        <v>4.0463179807441962E-2</v>
      </c>
      <c r="AC62" s="69"/>
      <c r="AD62" s="119"/>
    </row>
    <row r="63" spans="1:30" s="2" customFormat="1" x14ac:dyDescent="0.35">
      <c r="A63" s="2" t="s">
        <v>46</v>
      </c>
      <c r="B63" s="4">
        <f t="shared" ref="B63:G63" si="86">B61-B62</f>
        <v>103.54999999999995</v>
      </c>
      <c r="C63" s="4">
        <f t="shared" si="86"/>
        <v>242.70000000000027</v>
      </c>
      <c r="D63" s="4">
        <f t="shared" si="86"/>
        <v>652.86999999999898</v>
      </c>
      <c r="E63" s="4">
        <f t="shared" si="86"/>
        <v>1073.33</v>
      </c>
      <c r="F63" s="4">
        <f t="shared" si="86"/>
        <v>1340.4299999999994</v>
      </c>
      <c r="G63" s="4">
        <f t="shared" si="86"/>
        <v>2262.9499999999994</v>
      </c>
      <c r="H63" s="4">
        <f t="shared" ref="H63" si="87">H61-H62</f>
        <v>2952.1999999999989</v>
      </c>
      <c r="I63" s="95">
        <f t="shared" si="51"/>
        <v>0.3045803044698292</v>
      </c>
      <c r="J63" s="44"/>
      <c r="K63" s="17"/>
      <c r="M63" s="4">
        <f>M61-M62</f>
        <v>527.61</v>
      </c>
      <c r="N63" s="4">
        <f t="shared" ref="N63:T63" si="88">N61-N62</f>
        <v>175.71000000000004</v>
      </c>
      <c r="O63" s="4">
        <f t="shared" si="88"/>
        <v>211.98000000000013</v>
      </c>
      <c r="P63" s="4">
        <f t="shared" si="88"/>
        <v>425.13</v>
      </c>
      <c r="Q63" s="4">
        <f t="shared" si="88"/>
        <v>476.28000000000009</v>
      </c>
      <c r="R63" s="4">
        <f t="shared" si="88"/>
        <v>563.08000000000004</v>
      </c>
      <c r="S63" s="4">
        <f>S61-S62</f>
        <v>591.46999999999991</v>
      </c>
      <c r="T63" s="4">
        <f t="shared" si="88"/>
        <v>632.12</v>
      </c>
      <c r="U63" s="4">
        <f t="shared" ref="U63:V63" si="89">U61-U62</f>
        <v>662.96999999999991</v>
      </c>
      <c r="V63" s="4">
        <f t="shared" si="89"/>
        <v>691.72999999999979</v>
      </c>
      <c r="W63" s="4">
        <f t="shared" ref="W63:X63" si="90">W61-W62</f>
        <v>757.44999999999948</v>
      </c>
      <c r="X63" s="4">
        <f t="shared" si="90"/>
        <v>840.0499999999995</v>
      </c>
      <c r="Y63" s="4">
        <f t="shared" ref="Y63:Z63" si="91">Y61-Y62</f>
        <v>900.30000000000007</v>
      </c>
      <c r="Z63" s="4">
        <f t="shared" si="91"/>
        <v>964.42000000000257</v>
      </c>
      <c r="AA63" s="71">
        <f t="shared" si="52"/>
        <v>0.39421450565972682</v>
      </c>
      <c r="AB63" s="71">
        <f t="shared" si="53"/>
        <v>7.1220704209710606E-2</v>
      </c>
      <c r="AC63" s="71"/>
      <c r="AD63" s="1"/>
    </row>
    <row r="64" spans="1:30" x14ac:dyDescent="0.35">
      <c r="A64" s="1" t="s">
        <v>47</v>
      </c>
      <c r="B64" s="26">
        <v>36.79</v>
      </c>
      <c r="C64" s="26">
        <v>82.74</v>
      </c>
      <c r="D64" s="26">
        <v>195.63</v>
      </c>
      <c r="E64" s="26">
        <v>277.81</v>
      </c>
      <c r="F64" s="26">
        <v>339.01</v>
      </c>
      <c r="G64" s="26">
        <v>522.1</v>
      </c>
      <c r="H64" s="26">
        <f t="shared" si="78"/>
        <v>669.28</v>
      </c>
      <c r="I64" s="38">
        <f t="shared" si="51"/>
        <v>0.28190001915341867</v>
      </c>
      <c r="J64" s="44"/>
      <c r="K64" s="17"/>
      <c r="M64" s="26">
        <v>141.47</v>
      </c>
      <c r="N64" s="26">
        <f>173.84-M64</f>
        <v>32.370000000000005</v>
      </c>
      <c r="O64" s="26">
        <v>52.89</v>
      </c>
      <c r="P64" s="26">
        <f t="shared" si="79"/>
        <v>112.27999999999997</v>
      </c>
      <c r="Q64" s="26">
        <v>125.22</v>
      </c>
      <c r="R64" s="26">
        <f>239.63-Q64+17.7</f>
        <v>132.10999999999999</v>
      </c>
      <c r="S64" s="26">
        <v>132.1</v>
      </c>
      <c r="T64" s="26">
        <v>150.37</v>
      </c>
      <c r="U64" s="26">
        <v>150.5</v>
      </c>
      <c r="V64" s="26">
        <v>148.99</v>
      </c>
      <c r="W64" s="26">
        <v>170.01999999999998</v>
      </c>
      <c r="X64" s="26">
        <v>199.76999999999998</v>
      </c>
      <c r="Y64" s="26">
        <v>209.08</v>
      </c>
      <c r="Z64" s="26">
        <v>221.34</v>
      </c>
      <c r="AA64" s="69">
        <f t="shared" si="52"/>
        <v>0.48560306060809433</v>
      </c>
      <c r="AB64" s="69">
        <f t="shared" si="53"/>
        <v>5.8637841974363836E-2</v>
      </c>
      <c r="AC64" s="69"/>
      <c r="AD64" s="119"/>
    </row>
    <row r="65" spans="1:31" x14ac:dyDescent="0.35">
      <c r="A65" s="1" t="s">
        <v>204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-120.13</v>
      </c>
      <c r="H65" s="26">
        <f t="shared" si="78"/>
        <v>0</v>
      </c>
      <c r="I65" s="38"/>
      <c r="J65" s="44"/>
      <c r="K65" s="17"/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-17.7</v>
      </c>
      <c r="S65" s="26">
        <v>0</v>
      </c>
      <c r="T65" s="26">
        <v>-120.13</v>
      </c>
      <c r="U65" s="26"/>
      <c r="V65" s="109"/>
      <c r="W65" s="109"/>
      <c r="X65" s="109"/>
      <c r="Y65" s="109"/>
      <c r="Z65" s="109"/>
      <c r="AA65" s="69"/>
      <c r="AB65" s="69"/>
      <c r="AC65" s="69"/>
    </row>
    <row r="66" spans="1:31" s="2" customFormat="1" x14ac:dyDescent="0.35">
      <c r="A66" s="2" t="s">
        <v>48</v>
      </c>
      <c r="B66" s="4">
        <f t="shared" ref="B66:G66" si="92">B63-B64-B65</f>
        <v>66.759999999999962</v>
      </c>
      <c r="C66" s="4">
        <f t="shared" si="92"/>
        <v>159.96000000000026</v>
      </c>
      <c r="D66" s="4">
        <f t="shared" si="92"/>
        <v>457.23999999999899</v>
      </c>
      <c r="E66" s="4">
        <f t="shared" si="92"/>
        <v>795.52</v>
      </c>
      <c r="F66" s="4">
        <f t="shared" si="92"/>
        <v>1001.4199999999994</v>
      </c>
      <c r="G66" s="4">
        <f t="shared" si="92"/>
        <v>1860.9799999999996</v>
      </c>
      <c r="H66" s="4">
        <f t="shared" ref="H66" si="93">H63-H64-H65</f>
        <v>2282.9199999999992</v>
      </c>
      <c r="I66" s="91">
        <f t="shared" ref="I66:I70" si="94">H66/G66-1</f>
        <v>0.22673000247181574</v>
      </c>
      <c r="J66" s="44"/>
      <c r="K66" s="17"/>
      <c r="M66" s="4">
        <f t="shared" ref="M66:T66" si="95">M63-M64-M65</f>
        <v>386.14</v>
      </c>
      <c r="N66" s="4">
        <f t="shared" si="95"/>
        <v>143.34000000000003</v>
      </c>
      <c r="O66" s="4">
        <f t="shared" si="95"/>
        <v>159.09000000000015</v>
      </c>
      <c r="P66" s="4">
        <f t="shared" si="95"/>
        <v>312.85000000000002</v>
      </c>
      <c r="Q66" s="4">
        <f t="shared" si="95"/>
        <v>351.06000000000006</v>
      </c>
      <c r="R66" s="4">
        <f t="shared" si="95"/>
        <v>448.67</v>
      </c>
      <c r="S66" s="4">
        <f t="shared" si="95"/>
        <v>459.36999999999989</v>
      </c>
      <c r="T66" s="4">
        <f t="shared" si="95"/>
        <v>601.88</v>
      </c>
      <c r="U66" s="4">
        <f t="shared" ref="U66:V66" si="96">U63-U64-U65</f>
        <v>512.46999999999991</v>
      </c>
      <c r="V66" s="4">
        <f t="shared" si="96"/>
        <v>542.73999999999978</v>
      </c>
      <c r="W66" s="4">
        <f t="shared" ref="W66:X66" si="97">W63-W64-W65</f>
        <v>587.4299999999995</v>
      </c>
      <c r="X66" s="4">
        <f t="shared" si="97"/>
        <v>640.27999999999952</v>
      </c>
      <c r="Y66" s="4">
        <f t="shared" ref="Y66:Z66" si="98">Y63-Y64-Y65</f>
        <v>691.22</v>
      </c>
      <c r="Z66" s="4">
        <f t="shared" si="98"/>
        <v>743.08000000000254</v>
      </c>
      <c r="AA66" s="71">
        <f t="shared" ref="AA66:AA70" si="99">IFERROR(Z66/V66-1,"")</f>
        <v>0.36912702214688964</v>
      </c>
      <c r="AB66" s="71">
        <f t="shared" ref="AB66:AB70" si="100">IFERROR(Z66/Y66-1,"")</f>
        <v>7.5026764271870716E-2</v>
      </c>
      <c r="AC66" s="71"/>
      <c r="AD66" s="1"/>
    </row>
    <row r="67" spans="1:31" x14ac:dyDescent="0.35">
      <c r="A67" s="1" t="s">
        <v>147</v>
      </c>
      <c r="B67" s="26">
        <v>51.604999999999997</v>
      </c>
      <c r="C67" s="26">
        <v>51.615000000000002</v>
      </c>
      <c r="D67" s="26">
        <v>63.339999999999996</v>
      </c>
      <c r="E67" s="26">
        <v>78.300000000000011</v>
      </c>
      <c r="F67" s="26">
        <v>87.4</v>
      </c>
      <c r="G67" s="26">
        <f>87633703/(10^6)</f>
        <v>87.633702999999997</v>
      </c>
      <c r="H67" s="26">
        <f>X67</f>
        <v>88.016767000000002</v>
      </c>
      <c r="I67" s="30">
        <f t="shared" si="94"/>
        <v>4.371194949961188E-3</v>
      </c>
      <c r="J67" s="44"/>
      <c r="K67" s="17"/>
      <c r="M67" s="26">
        <f>78297715/(10^6)</f>
        <v>78.297714999999997</v>
      </c>
      <c r="N67" s="26">
        <f>78392895/(10^6)</f>
        <v>78.392894999999996</v>
      </c>
      <c r="O67" s="26">
        <f>82270961/(10^6)</f>
        <v>82.270961</v>
      </c>
      <c r="P67" s="26">
        <f>F67</f>
        <v>87.4</v>
      </c>
      <c r="Q67" s="26">
        <f>87499373/(10^6)</f>
        <v>87.499373000000006</v>
      </c>
      <c r="R67" s="26">
        <f>87523704/(10^6)</f>
        <v>87.523703999999995</v>
      </c>
      <c r="S67" s="26">
        <f>87586843/(10^6)</f>
        <v>87.586843000000002</v>
      </c>
      <c r="T67" s="26">
        <f>G67</f>
        <v>87.633702999999997</v>
      </c>
      <c r="U67" s="26">
        <f>87686355/(10^6)</f>
        <v>87.686355000000006</v>
      </c>
      <c r="V67" s="26">
        <f>87729939/10^6</f>
        <v>87.729939000000002</v>
      </c>
      <c r="W67" s="26">
        <f>87845934/10^6</f>
        <v>87.845934</v>
      </c>
      <c r="X67" s="26">
        <f>88016767/10^6</f>
        <v>88.016767000000002</v>
      </c>
      <c r="Y67" s="26">
        <f>88108094/10^6</f>
        <v>88.108093999999994</v>
      </c>
      <c r="Z67" s="26">
        <f>88172052/10^6</f>
        <v>88.172051999999994</v>
      </c>
      <c r="AA67" s="69">
        <f t="shared" si="99"/>
        <v>5.0394768882717766E-3</v>
      </c>
      <c r="AB67" s="69">
        <f t="shared" si="100"/>
        <v>7.2590379721515497E-4</v>
      </c>
      <c r="AC67" s="69"/>
      <c r="AE67" s="111"/>
    </row>
    <row r="68" spans="1:31" x14ac:dyDescent="0.35">
      <c r="A68" s="1" t="s">
        <v>187</v>
      </c>
      <c r="B68" s="35">
        <v>3.53</v>
      </c>
      <c r="C68" s="35">
        <v>3.1</v>
      </c>
      <c r="D68" s="35">
        <v>7.91</v>
      </c>
      <c r="E68" s="35">
        <v>10.81</v>
      </c>
      <c r="F68" s="35">
        <v>12.37</v>
      </c>
      <c r="G68" s="35">
        <v>21.26</v>
      </c>
      <c r="H68" s="35">
        <v>26.01</v>
      </c>
      <c r="I68" s="30">
        <f t="shared" si="94"/>
        <v>0.22342427093132633</v>
      </c>
      <c r="J68" s="44"/>
      <c r="K68" s="17"/>
      <c r="M68" s="35">
        <v>4.93</v>
      </c>
      <c r="N68" s="35">
        <v>1.83</v>
      </c>
      <c r="O68" s="35">
        <v>1.95</v>
      </c>
      <c r="P68" s="35">
        <v>3.65</v>
      </c>
      <c r="Q68" s="35">
        <v>4.01</v>
      </c>
      <c r="R68" s="35">
        <v>5.13</v>
      </c>
      <c r="S68" s="35">
        <v>5.25</v>
      </c>
      <c r="T68" s="35">
        <v>6.87</v>
      </c>
      <c r="U68" s="35">
        <v>5.85</v>
      </c>
      <c r="V68" s="35">
        <v>6.19</v>
      </c>
      <c r="W68" s="35">
        <v>6.69</v>
      </c>
      <c r="X68" s="35">
        <v>7.28</v>
      </c>
      <c r="Y68" s="35">
        <v>7.8479999999999999</v>
      </c>
      <c r="Z68" s="35">
        <v>8.43</v>
      </c>
      <c r="AA68" s="69">
        <f t="shared" si="99"/>
        <v>0.36187399030694656</v>
      </c>
      <c r="AB68" s="69">
        <f t="shared" si="100"/>
        <v>7.415902140672781E-2</v>
      </c>
      <c r="AC68" s="69"/>
    </row>
    <row r="69" spans="1:31" s="2" customFormat="1" x14ac:dyDescent="0.35">
      <c r="A69" s="2" t="s">
        <v>30</v>
      </c>
      <c r="B69" s="4">
        <f t="shared" ref="B69:G69" si="101">B145/B67</f>
        <v>59.36595291153958</v>
      </c>
      <c r="C69" s="4">
        <f t="shared" si="101"/>
        <v>63.007846556233652</v>
      </c>
      <c r="D69" s="4">
        <f t="shared" si="101"/>
        <v>82.516735080517819</v>
      </c>
      <c r="E69" s="4">
        <f t="shared" si="101"/>
        <v>119.21149425287355</v>
      </c>
      <c r="F69" s="4">
        <f t="shared" si="101"/>
        <v>157.95686498855835</v>
      </c>
      <c r="G69" s="4">
        <f t="shared" si="101"/>
        <v>179.57531704440242</v>
      </c>
      <c r="H69" s="4">
        <f t="shared" ref="H69" si="102">H145/H67</f>
        <v>206.47645465096443</v>
      </c>
      <c r="I69" s="91">
        <f t="shared" si="94"/>
        <v>0.14980420499500124</v>
      </c>
      <c r="J69" s="44"/>
      <c r="K69" s="17"/>
      <c r="M69" s="4">
        <f t="shared" ref="M69:W69" si="103">M145/M67</f>
        <v>124.2227822357268</v>
      </c>
      <c r="N69" s="4">
        <f t="shared" si="103"/>
        <v>126.02864073332157</v>
      </c>
      <c r="O69" s="4">
        <f t="shared" si="103"/>
        <v>132.73869500564118</v>
      </c>
      <c r="P69" s="4">
        <f t="shared" si="103"/>
        <v>157.95686498855835</v>
      </c>
      <c r="Q69" s="4">
        <f t="shared" si="103"/>
        <v>161.97418923219024</v>
      </c>
      <c r="R69" s="4">
        <f t="shared" si="103"/>
        <v>167.11906982364457</v>
      </c>
      <c r="S69" s="4">
        <f t="shared" si="103"/>
        <v>172.40306286641703</v>
      </c>
      <c r="T69" s="4">
        <f t="shared" si="103"/>
        <v>179.57531704440242</v>
      </c>
      <c r="U69" s="4">
        <f t="shared" si="103"/>
        <v>185.65271643461514</v>
      </c>
      <c r="V69" s="4">
        <f t="shared" si="103"/>
        <v>192.13725886666811</v>
      </c>
      <c r="W69" s="4">
        <f t="shared" si="103"/>
        <v>199.02230193147014</v>
      </c>
      <c r="X69" s="4">
        <f t="shared" ref="X69:Y69" si="104">X145/X67</f>
        <v>206.47645465096443</v>
      </c>
      <c r="Y69" s="4">
        <f t="shared" si="104"/>
        <v>212.00912597201344</v>
      </c>
      <c r="Z69" s="4">
        <f>Z145/Z67</f>
        <v>220.78787505138254</v>
      </c>
      <c r="AA69" s="69">
        <f t="shared" si="99"/>
        <v>0.1491153582272986</v>
      </c>
      <c r="AB69" s="69">
        <f t="shared" si="100"/>
        <v>4.1407411304209329E-2</v>
      </c>
      <c r="AC69" s="71"/>
      <c r="AD69" s="1"/>
    </row>
    <row r="70" spans="1:31" s="2" customFormat="1" x14ac:dyDescent="0.35">
      <c r="A70" s="2" t="s">
        <v>211</v>
      </c>
      <c r="B70" s="4"/>
      <c r="C70" s="4"/>
      <c r="D70" s="4"/>
      <c r="E70" s="4"/>
      <c r="F70" s="4">
        <f>F66+F65</f>
        <v>1001.4199999999994</v>
      </c>
      <c r="G70" s="4">
        <f>G66+G65</f>
        <v>1740.8499999999995</v>
      </c>
      <c r="H70" s="4">
        <f>H66+H65</f>
        <v>2282.9199999999992</v>
      </c>
      <c r="I70" s="12">
        <f t="shared" si="94"/>
        <v>0.31138237068098906</v>
      </c>
      <c r="J70" s="44"/>
      <c r="K70" s="17"/>
      <c r="M70" s="4"/>
      <c r="N70" s="4"/>
      <c r="O70" s="4"/>
      <c r="P70" s="4">
        <f t="shared" ref="P70:V70" si="105">P66+P65</f>
        <v>312.85000000000002</v>
      </c>
      <c r="Q70" s="4">
        <f t="shared" si="105"/>
        <v>351.06000000000006</v>
      </c>
      <c r="R70" s="4">
        <f t="shared" si="105"/>
        <v>430.97</v>
      </c>
      <c r="S70" s="4">
        <f t="shared" si="105"/>
        <v>459.36999999999989</v>
      </c>
      <c r="T70" s="4">
        <f t="shared" si="105"/>
        <v>481.75</v>
      </c>
      <c r="U70" s="4">
        <f t="shared" si="105"/>
        <v>512.46999999999991</v>
      </c>
      <c r="V70" s="4">
        <f t="shared" si="105"/>
        <v>542.73999999999978</v>
      </c>
      <c r="W70" s="4">
        <f t="shared" ref="W70:X70" si="106">W66+W65</f>
        <v>587.4299999999995</v>
      </c>
      <c r="X70" s="4">
        <f t="shared" si="106"/>
        <v>640.27999999999952</v>
      </c>
      <c r="Y70" s="4">
        <f t="shared" ref="Y70:Z70" si="107">Y66+Y65</f>
        <v>691.22</v>
      </c>
      <c r="Z70" s="4">
        <f t="shared" si="107"/>
        <v>743.08000000000254</v>
      </c>
      <c r="AA70" s="71">
        <f t="shared" si="99"/>
        <v>0.36912702214688964</v>
      </c>
      <c r="AB70" s="71">
        <f t="shared" si="100"/>
        <v>7.5026764271870716E-2</v>
      </c>
      <c r="AC70" s="71"/>
      <c r="AD70" s="1"/>
    </row>
    <row r="71" spans="1:31" s="2" customFormat="1" x14ac:dyDescent="0.35">
      <c r="B71" s="4"/>
      <c r="C71" s="4"/>
      <c r="D71" s="4"/>
      <c r="E71" s="4"/>
      <c r="F71" s="4"/>
      <c r="G71" s="4"/>
      <c r="H71" s="4"/>
      <c r="I71" s="4"/>
      <c r="J71" s="44"/>
      <c r="K71" s="17"/>
      <c r="M71" s="4"/>
      <c r="N71" s="4"/>
      <c r="O71" s="34"/>
      <c r="P71" s="4"/>
      <c r="Q71" s="4"/>
      <c r="R71" s="34"/>
      <c r="S71" s="34"/>
      <c r="T71" s="34"/>
      <c r="U71" s="34"/>
      <c r="V71" s="34"/>
      <c r="W71" s="34"/>
      <c r="X71" s="34"/>
      <c r="Y71" s="34"/>
      <c r="Z71" s="34"/>
      <c r="AA71" s="70"/>
      <c r="AB71" s="70"/>
      <c r="AC71" s="70"/>
    </row>
    <row r="72" spans="1:31" s="2" customFormat="1" x14ac:dyDescent="0.35">
      <c r="B72" s="4"/>
      <c r="C72" s="4"/>
      <c r="D72" s="4"/>
      <c r="E72" s="4"/>
      <c r="F72" s="12"/>
      <c r="G72" s="12"/>
      <c r="H72" s="12"/>
      <c r="I72" s="12"/>
      <c r="J72" s="93"/>
      <c r="K72" s="17"/>
      <c r="L72" s="94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70"/>
      <c r="AB72" s="70"/>
      <c r="AC72" s="70"/>
    </row>
    <row r="73" spans="1:31" s="2" customFormat="1" x14ac:dyDescent="0.35">
      <c r="A73" s="2" t="s">
        <v>226</v>
      </c>
      <c r="B73" s="24" t="str">
        <f>A287</f>
        <v>Reclassification Items included under line items as below</v>
      </c>
      <c r="C73" s="24"/>
      <c r="D73" s="24"/>
      <c r="E73" s="24"/>
      <c r="F73" s="78"/>
      <c r="G73" s="78"/>
      <c r="H73" s="78"/>
      <c r="I73" s="24"/>
      <c r="M73" s="24"/>
      <c r="N73" s="24"/>
      <c r="O73" s="43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0"/>
      <c r="AB73" s="70"/>
      <c r="AC73" s="70"/>
    </row>
    <row r="74" spans="1:31" s="2" customFormat="1" x14ac:dyDescent="0.35">
      <c r="A74" s="1" t="s">
        <v>199</v>
      </c>
      <c r="B74" s="26">
        <v>7.47</v>
      </c>
      <c r="C74" s="26">
        <v>14.45</v>
      </c>
      <c r="D74" s="26">
        <v>33.380000000000003</v>
      </c>
      <c r="E74" s="26">
        <v>38.4</v>
      </c>
      <c r="F74" s="26">
        <v>16.739999999999998</v>
      </c>
      <c r="G74" s="26">
        <v>13.18</v>
      </c>
      <c r="H74" s="26">
        <f>SUM(U74:X74)</f>
        <v>104.08000000000001</v>
      </c>
      <c r="I74" s="38"/>
      <c r="J74" s="1"/>
      <c r="K74" s="1"/>
      <c r="L74" s="1"/>
      <c r="M74" s="35">
        <v>1.25</v>
      </c>
      <c r="N74" s="35">
        <v>7.71</v>
      </c>
      <c r="O74" s="35">
        <v>0.05</v>
      </c>
      <c r="P74" s="35">
        <v>7.73</v>
      </c>
      <c r="Q74" s="35">
        <v>2.2000000000000002</v>
      </c>
      <c r="R74" s="35">
        <v>2.36</v>
      </c>
      <c r="S74" s="35">
        <v>-7.0000000000000007E-2</v>
      </c>
      <c r="T74" s="35">
        <v>8.69</v>
      </c>
      <c r="U74" s="35">
        <v>15.43</v>
      </c>
      <c r="V74" s="35">
        <v>23.270000000000003</v>
      </c>
      <c r="W74" s="35">
        <v>28.89</v>
      </c>
      <c r="X74" s="35">
        <v>36.490000000000009</v>
      </c>
      <c r="Y74" s="35">
        <v>22.729999999999997</v>
      </c>
      <c r="Z74" s="35">
        <v>23.060000000000002</v>
      </c>
      <c r="AA74" s="69">
        <f t="shared" ref="AA74:AA78" si="108">IFERROR(Z74/V74-1,"")</f>
        <v>-9.0244950580146144E-3</v>
      </c>
      <c r="AB74" s="69">
        <f t="shared" ref="AB74:AB78" si="109">IFERROR(Z74/Y74-1,"")</f>
        <v>1.451825780906324E-2</v>
      </c>
      <c r="AC74" s="76"/>
      <c r="AD74" s="1"/>
      <c r="AE74" s="110"/>
    </row>
    <row r="75" spans="1:31" s="2" customFormat="1" x14ac:dyDescent="0.35">
      <c r="A75" s="1" t="s">
        <v>200</v>
      </c>
      <c r="B75" s="26">
        <v>2.4500000000000002</v>
      </c>
      <c r="C75" s="26">
        <v>6.89</v>
      </c>
      <c r="D75" s="26">
        <v>31.37</v>
      </c>
      <c r="E75" s="26">
        <v>28.57</v>
      </c>
      <c r="F75" s="26">
        <v>13.91</v>
      </c>
      <c r="G75" s="26">
        <v>11.51</v>
      </c>
      <c r="H75" s="26">
        <f t="shared" ref="H75:H79" si="110">SUM(U75:X75)</f>
        <v>24.349999999999998</v>
      </c>
      <c r="I75" s="38"/>
      <c r="J75" s="1"/>
      <c r="K75" s="1"/>
      <c r="L75" s="1"/>
      <c r="M75" s="35">
        <v>0.82</v>
      </c>
      <c r="N75" s="35">
        <v>1.84</v>
      </c>
      <c r="O75" s="35">
        <v>3.22</v>
      </c>
      <c r="P75" s="35">
        <v>8.0299999999999994</v>
      </c>
      <c r="Q75" s="35">
        <v>1.9</v>
      </c>
      <c r="R75" s="35">
        <v>1.96</v>
      </c>
      <c r="S75" s="35">
        <v>2.37</v>
      </c>
      <c r="T75" s="35">
        <v>5.28</v>
      </c>
      <c r="U75" s="35">
        <v>11.54</v>
      </c>
      <c r="V75" s="35">
        <v>3.9700000000000024</v>
      </c>
      <c r="W75" s="35">
        <v>4.41</v>
      </c>
      <c r="X75" s="35">
        <v>4.4299999999999962</v>
      </c>
      <c r="Y75" s="35">
        <v>16.79</v>
      </c>
      <c r="Z75" s="35">
        <v>11.590000000000003</v>
      </c>
      <c r="AA75" s="69">
        <f t="shared" si="108"/>
        <v>1.9193954659949615</v>
      </c>
      <c r="AB75" s="69">
        <f t="shared" si="109"/>
        <v>-0.30970815961882048</v>
      </c>
      <c r="AC75" s="76"/>
      <c r="AD75" s="1"/>
      <c r="AE75" s="110"/>
    </row>
    <row r="76" spans="1:31" s="2" customFormat="1" x14ac:dyDescent="0.35">
      <c r="A76" s="1" t="s">
        <v>201</v>
      </c>
      <c r="B76" s="26">
        <v>15.56</v>
      </c>
      <c r="C76" s="26">
        <v>12.28</v>
      </c>
      <c r="D76" s="26">
        <v>21.64</v>
      </c>
      <c r="E76" s="26">
        <v>70.17</v>
      </c>
      <c r="F76" s="26">
        <v>124.47</v>
      </c>
      <c r="G76" s="26">
        <v>127.78</v>
      </c>
      <c r="H76" s="26">
        <f t="shared" si="110"/>
        <v>162.34</v>
      </c>
      <c r="I76" s="38"/>
      <c r="J76" s="1"/>
      <c r="K76" s="1"/>
      <c r="L76" s="1"/>
      <c r="M76" s="35">
        <v>21.2</v>
      </c>
      <c r="N76" s="35">
        <f>51.23-M76</f>
        <v>30.029999999999998</v>
      </c>
      <c r="O76" s="35">
        <v>30.94</v>
      </c>
      <c r="P76" s="35">
        <v>42.3</v>
      </c>
      <c r="Q76" s="35">
        <v>46.52</v>
      </c>
      <c r="R76" s="35">
        <f>77.79-Q76</f>
        <v>31.270000000000003</v>
      </c>
      <c r="S76" s="35">
        <v>28.14</v>
      </c>
      <c r="T76" s="35">
        <v>21.85</v>
      </c>
      <c r="U76" s="35">
        <v>26.39</v>
      </c>
      <c r="V76" s="35">
        <v>19.189999999999998</v>
      </c>
      <c r="W76" s="35">
        <v>21.680000000000007</v>
      </c>
      <c r="X76" s="35">
        <v>95.08</v>
      </c>
      <c r="Y76" s="35">
        <v>74.83</v>
      </c>
      <c r="Z76" s="35">
        <v>85.060000000000016</v>
      </c>
      <c r="AA76" s="69">
        <f t="shared" si="108"/>
        <v>3.4325169359041183</v>
      </c>
      <c r="AB76" s="69">
        <f t="shared" si="109"/>
        <v>0.13670987571829496</v>
      </c>
      <c r="AC76" s="76"/>
      <c r="AD76" s="1"/>
      <c r="AE76" s="110"/>
    </row>
    <row r="77" spans="1:31" s="2" customFormat="1" x14ac:dyDescent="0.35">
      <c r="A77" s="1" t="s">
        <v>202</v>
      </c>
      <c r="B77" s="26">
        <v>0</v>
      </c>
      <c r="C77" s="26">
        <v>4.75</v>
      </c>
      <c r="D77" s="26">
        <v>36.909999999999997</v>
      </c>
      <c r="E77" s="26">
        <v>121.69</v>
      </c>
      <c r="F77" s="26">
        <v>120</v>
      </c>
      <c r="G77" s="26">
        <v>136.72</v>
      </c>
      <c r="H77" s="26">
        <f t="shared" si="110"/>
        <v>178.81</v>
      </c>
      <c r="I77" s="38"/>
      <c r="J77" s="1"/>
      <c r="K77" s="1"/>
      <c r="L77" s="1"/>
      <c r="M77" s="35">
        <v>27.85</v>
      </c>
      <c r="N77" s="35">
        <f>60.27-M77</f>
        <v>32.42</v>
      </c>
      <c r="O77" s="35">
        <f>83.02-60.27</f>
        <v>22.749999999999993</v>
      </c>
      <c r="P77" s="35">
        <v>36.979999999999997</v>
      </c>
      <c r="Q77" s="35">
        <v>38.69</v>
      </c>
      <c r="R77" s="35">
        <f>84.57-Q77</f>
        <v>45.879999999999995</v>
      </c>
      <c r="S77" s="35">
        <f>117.13-84.57</f>
        <v>32.56</v>
      </c>
      <c r="T77" s="35">
        <f>G77-SUM(Q77:S77)</f>
        <v>19.590000000000003</v>
      </c>
      <c r="U77" s="35">
        <v>28.55</v>
      </c>
      <c r="V77" s="35">
        <v>59.19</v>
      </c>
      <c r="W77" s="35">
        <v>65.73</v>
      </c>
      <c r="X77" s="35">
        <v>25.340000000000003</v>
      </c>
      <c r="Y77" s="35">
        <v>71.81</v>
      </c>
      <c r="Z77" s="35">
        <v>56.25</v>
      </c>
      <c r="AA77" s="69">
        <f t="shared" si="108"/>
        <v>-4.9670552458185413E-2</v>
      </c>
      <c r="AB77" s="69">
        <f t="shared" si="109"/>
        <v>-0.21668291324328093</v>
      </c>
      <c r="AC77" s="76"/>
      <c r="AD77" s="1"/>
      <c r="AE77" s="110"/>
    </row>
    <row r="78" spans="1:31" s="2" customFormat="1" x14ac:dyDescent="0.35">
      <c r="A78" s="1" t="s">
        <v>203</v>
      </c>
      <c r="B78" s="35">
        <v>12.59</v>
      </c>
      <c r="C78" s="35">
        <v>12.83</v>
      </c>
      <c r="D78" s="35">
        <v>9.49</v>
      </c>
      <c r="E78" s="26">
        <v>53.24</v>
      </c>
      <c r="F78" s="26">
        <v>115.4</v>
      </c>
      <c r="G78" s="26">
        <v>218.73</v>
      </c>
      <c r="H78" s="26">
        <f t="shared" si="110"/>
        <v>234.93000000000021</v>
      </c>
      <c r="I78" s="38"/>
      <c r="J78" s="1"/>
      <c r="K78" s="1"/>
      <c r="L78" s="1"/>
      <c r="M78" s="35">
        <v>16.899999999999977</v>
      </c>
      <c r="N78" s="35">
        <v>38.5</v>
      </c>
      <c r="O78" s="35">
        <v>23.56</v>
      </c>
      <c r="P78" s="35">
        <v>36.44</v>
      </c>
      <c r="Q78" s="35">
        <v>43.59</v>
      </c>
      <c r="R78" s="35">
        <v>54.6</v>
      </c>
      <c r="S78" s="35">
        <v>63.61</v>
      </c>
      <c r="T78" s="35">
        <v>56.93</v>
      </c>
      <c r="U78" s="35">
        <v>62.65</v>
      </c>
      <c r="V78" s="35">
        <v>57.88</v>
      </c>
      <c r="W78" s="35">
        <v>56.57</v>
      </c>
      <c r="X78" s="35">
        <v>57.830000000000211</v>
      </c>
      <c r="Y78" s="35">
        <v>72.429999999999993</v>
      </c>
      <c r="Z78" s="35">
        <v>58.19</v>
      </c>
      <c r="AA78" s="69">
        <f t="shared" si="108"/>
        <v>5.3559087767793834E-3</v>
      </c>
      <c r="AB78" s="69">
        <f t="shared" si="109"/>
        <v>-0.19660361728565512</v>
      </c>
      <c r="AC78" s="76"/>
      <c r="AD78" s="1"/>
      <c r="AE78" s="110"/>
    </row>
    <row r="79" spans="1:31" s="2" customFormat="1" x14ac:dyDescent="0.35">
      <c r="A79" s="1" t="s">
        <v>233</v>
      </c>
      <c r="B79" s="26"/>
      <c r="C79" s="26">
        <v>16.7</v>
      </c>
      <c r="D79" s="26">
        <v>73.540000000000006</v>
      </c>
      <c r="E79" s="26">
        <v>88.48</v>
      </c>
      <c r="F79" s="26">
        <v>0.43</v>
      </c>
      <c r="G79" s="26">
        <v>0.31</v>
      </c>
      <c r="H79" s="26">
        <f t="shared" si="110"/>
        <v>46.13</v>
      </c>
      <c r="I79" s="38"/>
      <c r="J79" s="1"/>
      <c r="K79" s="1"/>
      <c r="L79" s="1"/>
      <c r="M79" s="35">
        <v>0.1</v>
      </c>
      <c r="N79" s="35">
        <v>0.06</v>
      </c>
      <c r="O79" s="35">
        <v>0.27</v>
      </c>
      <c r="P79" s="97">
        <v>0</v>
      </c>
      <c r="Q79" s="35">
        <v>0.1</v>
      </c>
      <c r="R79" s="35">
        <f>0.1-Q79</f>
        <v>0</v>
      </c>
      <c r="S79" s="35">
        <v>0.16</v>
      </c>
      <c r="T79" s="35">
        <f>G79-SUM(Q79:S79)</f>
        <v>4.9999999999999989E-2</v>
      </c>
      <c r="U79" s="35">
        <v>0</v>
      </c>
      <c r="V79" s="35">
        <v>0.09</v>
      </c>
      <c r="W79" s="35">
        <v>1.45</v>
      </c>
      <c r="X79" s="35">
        <v>44.59</v>
      </c>
      <c r="Y79" s="35">
        <v>47.599999999999994</v>
      </c>
      <c r="Z79" s="35">
        <v>46.500000000000014</v>
      </c>
      <c r="AA79" s="69" t="str">
        <f t="shared" ref="AA79" si="111">IFERROR(Y79/U79-1,"")</f>
        <v/>
      </c>
      <c r="AB79" s="69">
        <f>IFERROR(Z79/Y79-1,"")</f>
        <v>-2.3109243697478576E-2</v>
      </c>
      <c r="AC79" s="76"/>
      <c r="AD79" s="1"/>
      <c r="AE79" s="110"/>
    </row>
    <row r="80" spans="1:31" s="2" customFormat="1" x14ac:dyDescent="0.35">
      <c r="A80" s="2" t="s">
        <v>35</v>
      </c>
      <c r="B80" s="4">
        <f>SUM(B74:B79)</f>
        <v>38.07</v>
      </c>
      <c r="C80" s="4">
        <f t="shared" ref="C80:G80" si="112">SUM(C74:C79)</f>
        <v>67.899999999999991</v>
      </c>
      <c r="D80" s="4">
        <f t="shared" si="112"/>
        <v>206.32999999999998</v>
      </c>
      <c r="E80" s="4">
        <f t="shared" si="112"/>
        <v>400.55</v>
      </c>
      <c r="F80" s="4">
        <f t="shared" si="112"/>
        <v>390.95</v>
      </c>
      <c r="G80" s="4">
        <f t="shared" si="112"/>
        <v>508.22999999999996</v>
      </c>
      <c r="H80" s="4">
        <f t="shared" ref="H80" si="113">SUM(H74:H79)</f>
        <v>750.64000000000021</v>
      </c>
      <c r="I80" s="95"/>
      <c r="M80" s="4">
        <f t="shared" ref="M80" si="114">SUM(M74:M79)</f>
        <v>68.119999999999976</v>
      </c>
      <c r="N80" s="4">
        <f t="shared" ref="N80" si="115">SUM(N74:N79)</f>
        <v>110.56</v>
      </c>
      <c r="O80" s="4">
        <f t="shared" ref="O80" si="116">SUM(O74:O79)</f>
        <v>80.789999999999992</v>
      </c>
      <c r="P80" s="4">
        <f t="shared" ref="P80" si="117">SUM(P74:P79)</f>
        <v>131.47999999999999</v>
      </c>
      <c r="Q80" s="4">
        <f t="shared" ref="Q80" si="118">SUM(Q74:Q79)</f>
        <v>133</v>
      </c>
      <c r="R80" s="4">
        <f t="shared" ref="R80" si="119">SUM(R74:R79)</f>
        <v>136.07</v>
      </c>
      <c r="S80" s="4">
        <f t="shared" ref="S80" si="120">SUM(S74:S79)</f>
        <v>126.77</v>
      </c>
      <c r="T80" s="4">
        <f t="shared" ref="T80" si="121">SUM(T74:T79)</f>
        <v>112.39</v>
      </c>
      <c r="U80" s="4">
        <f t="shared" ref="U80" si="122">SUM(U74:U79)</f>
        <v>144.56</v>
      </c>
      <c r="V80" s="4">
        <f t="shared" ref="V80" si="123">SUM(V74:V79)</f>
        <v>163.59</v>
      </c>
      <c r="W80" s="4">
        <f t="shared" ref="W80:X80" si="124">SUM(W74:W79)</f>
        <v>178.73</v>
      </c>
      <c r="X80" s="4">
        <f t="shared" si="124"/>
        <v>263.76000000000022</v>
      </c>
      <c r="Y80" s="4">
        <f t="shared" ref="Y80:Z80" si="125">SUM(Y74:Y79)</f>
        <v>306.18999999999994</v>
      </c>
      <c r="Z80" s="4">
        <f t="shared" si="125"/>
        <v>280.65000000000003</v>
      </c>
      <c r="AA80" s="71">
        <f>IFERROR(Z80/V80-1,"")</f>
        <v>0.71556941133321117</v>
      </c>
      <c r="AB80" s="71">
        <f>IFERROR(Z80/Y80-1,"")</f>
        <v>-8.3412260361213297E-2</v>
      </c>
      <c r="AC80" s="76"/>
    </row>
    <row r="81" spans="1:31" x14ac:dyDescent="0.35">
      <c r="F81" s="7"/>
      <c r="G81" s="7"/>
      <c r="H81" s="39"/>
      <c r="I81" s="7"/>
      <c r="M81" s="39"/>
      <c r="N81" s="39"/>
      <c r="P81" s="39"/>
      <c r="Q81" s="39"/>
    </row>
    <row r="82" spans="1:31" x14ac:dyDescent="0.35">
      <c r="M82" s="51"/>
      <c r="N82" s="51"/>
      <c r="O82" s="83"/>
      <c r="P82" s="51"/>
      <c r="Q82" s="51"/>
      <c r="R82" s="83"/>
      <c r="S82" s="83"/>
      <c r="T82" s="83"/>
      <c r="U82" s="83"/>
      <c r="V82" s="83"/>
      <c r="W82" s="83"/>
      <c r="X82" s="83"/>
      <c r="Y82" s="83"/>
      <c r="Z82" s="83"/>
    </row>
    <row r="83" spans="1:31" s="8" customFormat="1" x14ac:dyDescent="0.35">
      <c r="A83" s="8" t="s">
        <v>81</v>
      </c>
      <c r="B83" s="37">
        <f t="shared" ref="B83:G83" si="126">B56/B52</f>
        <v>0.28609803771689396</v>
      </c>
      <c r="C83" s="37">
        <f t="shared" si="126"/>
        <v>0.31572517264241601</v>
      </c>
      <c r="D83" s="37">
        <f t="shared" si="126"/>
        <v>0.27134497313891032</v>
      </c>
      <c r="E83" s="37">
        <f t="shared" si="126"/>
        <v>0.24927622565080124</v>
      </c>
      <c r="F83" s="37">
        <f t="shared" si="126"/>
        <v>0.21747645458243814</v>
      </c>
      <c r="G83" s="37">
        <f t="shared" si="126"/>
        <v>0.2175067693356231</v>
      </c>
      <c r="H83" s="37">
        <f t="shared" ref="H83" si="127">H56/H52</f>
        <v>0.22071322451790984</v>
      </c>
      <c r="I83" s="37"/>
      <c r="M83" s="37">
        <f t="shared" ref="M83:W83" si="128">M56/M52</f>
        <v>0.17281200408281863</v>
      </c>
      <c r="N83" s="37">
        <f t="shared" si="128"/>
        <v>0.21237075502044941</v>
      </c>
      <c r="O83" s="37">
        <f t="shared" si="128"/>
        <v>0.25877936656178879</v>
      </c>
      <c r="P83" s="37">
        <f t="shared" si="128"/>
        <v>0.23216388905247043</v>
      </c>
      <c r="Q83" s="37">
        <f t="shared" si="128"/>
        <v>0.20050496501918302</v>
      </c>
      <c r="R83" s="37">
        <f t="shared" si="128"/>
        <v>0.22177129599846696</v>
      </c>
      <c r="S83" s="37">
        <f t="shared" si="128"/>
        <v>0.21181379528555611</v>
      </c>
      <c r="T83" s="37">
        <f t="shared" si="128"/>
        <v>0.23449252335251081</v>
      </c>
      <c r="U83" s="37">
        <f t="shared" si="128"/>
        <v>0.23011603531252767</v>
      </c>
      <c r="V83" s="37">
        <f t="shared" si="128"/>
        <v>0.2342298107788478</v>
      </c>
      <c r="W83" s="37">
        <f t="shared" si="128"/>
        <v>0.21656887643401354</v>
      </c>
      <c r="X83" s="37">
        <f t="shared" ref="X83:Y83" si="129">X56/X52</f>
        <v>0.20644349619330493</v>
      </c>
      <c r="Y83" s="37">
        <f t="shared" si="129"/>
        <v>0.21399731339032435</v>
      </c>
      <c r="Z83" s="37">
        <f t="shared" ref="Z83" si="130">Z56/Z52</f>
        <v>0.20435569337472687</v>
      </c>
      <c r="AA83" s="64"/>
      <c r="AB83" s="64"/>
      <c r="AC83" s="64"/>
      <c r="AD83" s="1"/>
    </row>
    <row r="84" spans="1:31" s="8" customFormat="1" x14ac:dyDescent="0.35">
      <c r="A84" s="8" t="s">
        <v>82</v>
      </c>
      <c r="B84" s="37">
        <f t="shared" ref="B84:G84" si="131">B56/B55</f>
        <v>0.68421602423482719</v>
      </c>
      <c r="C84" s="37">
        <f t="shared" si="131"/>
        <v>0.60958490348934191</v>
      </c>
      <c r="D84" s="37">
        <f t="shared" si="131"/>
        <v>0.50321949350285033</v>
      </c>
      <c r="E84" s="37">
        <f t="shared" si="131"/>
        <v>0.45792989336928547</v>
      </c>
      <c r="F84" s="37">
        <f t="shared" si="131"/>
        <v>0.39027871023600685</v>
      </c>
      <c r="G84" s="37">
        <f t="shared" si="131"/>
        <v>0.34017790099924922</v>
      </c>
      <c r="H84" s="37">
        <f t="shared" ref="H84" si="132">H56/H55</f>
        <v>0.35666061396346455</v>
      </c>
      <c r="I84" s="37"/>
      <c r="M84" s="37">
        <f t="shared" ref="M84:W84" si="133">M56/M55</f>
        <v>0.28843403757911884</v>
      </c>
      <c r="N84" s="37">
        <f t="shared" si="133"/>
        <v>0.43904617138514151</v>
      </c>
      <c r="O84" s="37">
        <f t="shared" si="133"/>
        <v>0.49954491353357128</v>
      </c>
      <c r="P84" s="37">
        <f t="shared" si="133"/>
        <v>0.38276414476079523</v>
      </c>
      <c r="Q84" s="37">
        <f t="shared" si="133"/>
        <v>0.31907968574635237</v>
      </c>
      <c r="R84" s="37">
        <f t="shared" si="133"/>
        <v>0.35207518470230331</v>
      </c>
      <c r="S84" s="37">
        <f t="shared" si="133"/>
        <v>0.33041645244215945</v>
      </c>
      <c r="T84" s="37">
        <f t="shared" si="133"/>
        <v>0.35709686231657822</v>
      </c>
      <c r="U84" s="37">
        <f t="shared" si="133"/>
        <v>0.35790450124447792</v>
      </c>
      <c r="V84" s="37">
        <f t="shared" si="133"/>
        <v>0.37436923024994523</v>
      </c>
      <c r="W84" s="37">
        <f t="shared" si="133"/>
        <v>0.35260289597921501</v>
      </c>
      <c r="X84" s="37">
        <f t="shared" ref="X84:Y84" si="134">X56/X55</f>
        <v>0.34424811298310898</v>
      </c>
      <c r="Y84" s="37">
        <f t="shared" si="134"/>
        <v>0.36264137652138745</v>
      </c>
      <c r="Z84" s="37">
        <f t="shared" ref="Z84" si="135">Z56/Z55</f>
        <v>0.35230021209828399</v>
      </c>
      <c r="AA84" s="99"/>
      <c r="AB84" s="64"/>
      <c r="AC84" s="64"/>
      <c r="AD84" s="112"/>
      <c r="AE84" s="113"/>
    </row>
    <row r="85" spans="1:31" x14ac:dyDescent="0.35">
      <c r="H85" s="11"/>
      <c r="N85" s="7"/>
      <c r="T85" s="7"/>
      <c r="U85" s="7"/>
      <c r="V85" s="77"/>
      <c r="W85" s="77"/>
      <c r="X85" s="77"/>
      <c r="Y85" s="77"/>
      <c r="Z85" s="77"/>
      <c r="AD85" s="123"/>
    </row>
    <row r="86" spans="1:31" s="5" customFormat="1" x14ac:dyDescent="0.35">
      <c r="A86" s="21" t="s">
        <v>168</v>
      </c>
      <c r="B86" s="22" t="str">
        <f t="shared" ref="B86:H86" si="136">B$1</f>
        <v>FY17</v>
      </c>
      <c r="C86" s="22" t="str">
        <f t="shared" si="136"/>
        <v>FY18</v>
      </c>
      <c r="D86" s="22" t="str">
        <f t="shared" si="136"/>
        <v>FY19</v>
      </c>
      <c r="E86" s="22" t="str">
        <f t="shared" si="136"/>
        <v>FY20</v>
      </c>
      <c r="F86" s="22" t="str">
        <f t="shared" si="136"/>
        <v>FY21</v>
      </c>
      <c r="G86" s="22" t="str">
        <f t="shared" si="136"/>
        <v>FY22</v>
      </c>
      <c r="H86" s="22" t="str">
        <f t="shared" si="136"/>
        <v>FY23</v>
      </c>
      <c r="I86" s="22" t="str">
        <f>I$1</f>
        <v>Yoy%</v>
      </c>
      <c r="M86" s="6" t="str">
        <f t="shared" ref="M86:AB86" si="137">M$1</f>
        <v>Q1FY21</v>
      </c>
      <c r="N86" s="6" t="str">
        <f t="shared" si="137"/>
        <v>Q2FY21</v>
      </c>
      <c r="O86" s="80" t="str">
        <f t="shared" si="137"/>
        <v>Q3FY21</v>
      </c>
      <c r="P86" s="6" t="str">
        <f t="shared" si="137"/>
        <v>Q4FY21</v>
      </c>
      <c r="Q86" s="6" t="str">
        <f t="shared" si="137"/>
        <v>Q1FY22</v>
      </c>
      <c r="R86" s="80" t="str">
        <f t="shared" si="137"/>
        <v>Q2FY22</v>
      </c>
      <c r="S86" s="80" t="str">
        <f t="shared" si="137"/>
        <v>Q3FY22</v>
      </c>
      <c r="T86" s="80" t="str">
        <f t="shared" si="137"/>
        <v>Q4FY22</v>
      </c>
      <c r="U86" s="80" t="str">
        <f t="shared" si="137"/>
        <v>Q1FY23</v>
      </c>
      <c r="V86" s="80" t="str">
        <f t="shared" si="137"/>
        <v>Q2FY23</v>
      </c>
      <c r="W86" s="80" t="str">
        <f t="shared" si="137"/>
        <v>Q3FY23</v>
      </c>
      <c r="X86" s="80" t="str">
        <f t="shared" si="137"/>
        <v>Q4FY23</v>
      </c>
      <c r="Y86" s="80" t="str">
        <f t="shared" si="137"/>
        <v>Q1FY24</v>
      </c>
      <c r="Z86" s="80" t="str">
        <f t="shared" si="137"/>
        <v>Q2FY24</v>
      </c>
      <c r="AA86" s="6" t="str">
        <f t="shared" si="137"/>
        <v>y-o-y</v>
      </c>
      <c r="AB86" s="6" t="str">
        <f t="shared" si="137"/>
        <v>q-o-q</v>
      </c>
      <c r="AC86" s="6"/>
    </row>
    <row r="87" spans="1:31" s="2" customFormat="1" x14ac:dyDescent="0.35">
      <c r="A87" s="2" t="s">
        <v>169</v>
      </c>
      <c r="B87" s="4"/>
      <c r="C87" s="4"/>
      <c r="D87" s="4"/>
      <c r="E87" s="4"/>
      <c r="F87" s="4"/>
      <c r="G87" s="4"/>
      <c r="H87" s="4"/>
      <c r="I87" s="4"/>
      <c r="M87" s="4"/>
      <c r="N87" s="24"/>
      <c r="O87" s="43"/>
      <c r="P87" s="24"/>
      <c r="Q87" s="24"/>
      <c r="R87" s="43"/>
      <c r="S87" s="24"/>
      <c r="T87" s="24"/>
      <c r="U87" s="24"/>
      <c r="V87" s="24"/>
      <c r="W87" s="24"/>
      <c r="X87" s="24"/>
      <c r="Y87" s="24"/>
      <c r="Z87" s="24"/>
      <c r="AA87" s="70"/>
      <c r="AB87" s="70"/>
      <c r="AC87" s="70"/>
    </row>
    <row r="88" spans="1:31" x14ac:dyDescent="0.35">
      <c r="A88" s="1" t="s">
        <v>170</v>
      </c>
      <c r="B88" s="35">
        <f>1159.8+661.72</f>
        <v>1821.52</v>
      </c>
      <c r="C88" s="35">
        <v>302.18</v>
      </c>
      <c r="D88" s="35">
        <v>1919.8299999999997</v>
      </c>
      <c r="E88" s="26">
        <v>2220.5500000000002</v>
      </c>
      <c r="F88" s="35">
        <v>6798.68</v>
      </c>
      <c r="G88" s="35">
        <v>6678.49</v>
      </c>
      <c r="H88" s="35">
        <f>X88</f>
        <v>2984.1000000000004</v>
      </c>
      <c r="I88" s="26"/>
      <c r="M88" s="35">
        <v>3046.01</v>
      </c>
      <c r="N88" s="35">
        <v>4208.6000000000004</v>
      </c>
      <c r="O88" s="35">
        <v>4635.3899999999994</v>
      </c>
      <c r="P88" s="35">
        <f t="shared" ref="P88:P94" si="138">F88</f>
        <v>6798.68</v>
      </c>
      <c r="Q88" s="35">
        <v>6409.96</v>
      </c>
      <c r="R88" s="35">
        <v>4895.13</v>
      </c>
      <c r="S88" s="35">
        <v>4100.13</v>
      </c>
      <c r="T88" s="35">
        <f t="shared" ref="T88:T94" si="139">G88</f>
        <v>6678.49</v>
      </c>
      <c r="U88" s="35">
        <v>3004.28</v>
      </c>
      <c r="V88" s="35">
        <v>3218.35</v>
      </c>
      <c r="W88" s="35">
        <v>3675.5800000000008</v>
      </c>
      <c r="X88" s="35">
        <v>2984.1000000000004</v>
      </c>
      <c r="Y88" s="35">
        <v>5437.19</v>
      </c>
      <c r="Z88" s="35">
        <v>4885.0099999999993</v>
      </c>
      <c r="AA88" s="69">
        <f t="shared" ref="AA88:AA92" si="140">IFERROR(Z88/V88-1,"")</f>
        <v>0.51786163717432832</v>
      </c>
      <c r="AB88" s="69">
        <f t="shared" ref="AB88:AB92" si="141">IFERROR(Z88/Y88-1,"")</f>
        <v>-0.10155613469457581</v>
      </c>
      <c r="AC88" s="75"/>
      <c r="AE88" s="111"/>
    </row>
    <row r="89" spans="1:31" x14ac:dyDescent="0.35">
      <c r="A89" s="1" t="s">
        <v>171</v>
      </c>
      <c r="B89" s="35">
        <v>7893.12</v>
      </c>
      <c r="C89" s="35">
        <v>13087.35</v>
      </c>
      <c r="D89" s="35">
        <v>21347.050000000007</v>
      </c>
      <c r="E89" s="26">
        <v>30139.14</v>
      </c>
      <c r="F89" s="35">
        <v>33264.999999999985</v>
      </c>
      <c r="G89" s="35">
        <v>43048.66</v>
      </c>
      <c r="H89" s="35">
        <f t="shared" ref="H89:H94" si="142">X89</f>
        <v>59957.000000000007</v>
      </c>
      <c r="I89" s="26"/>
      <c r="M89" s="35">
        <v>28693.709999999995</v>
      </c>
      <c r="N89" s="35">
        <v>29721.639999999996</v>
      </c>
      <c r="O89" s="35">
        <v>32067.32</v>
      </c>
      <c r="P89" s="35">
        <f t="shared" si="138"/>
        <v>33264.999999999985</v>
      </c>
      <c r="Q89" s="35">
        <v>33951.360000000015</v>
      </c>
      <c r="R89" s="35">
        <v>36371.93</v>
      </c>
      <c r="S89" s="35">
        <v>39539.85</v>
      </c>
      <c r="T89" s="35">
        <f t="shared" si="139"/>
        <v>43048.66</v>
      </c>
      <c r="U89" s="35">
        <v>47222.33</v>
      </c>
      <c r="V89" s="35">
        <v>51454.409999999996</v>
      </c>
      <c r="W89" s="35">
        <v>55954.870000000017</v>
      </c>
      <c r="X89" s="35">
        <v>59957.000000000007</v>
      </c>
      <c r="Y89" s="35">
        <v>65194.299999999988</v>
      </c>
      <c r="Z89" s="35">
        <v>70253.330000000016</v>
      </c>
      <c r="AA89" s="69">
        <f t="shared" si="140"/>
        <v>0.36535099712541697</v>
      </c>
      <c r="AB89" s="69">
        <f t="shared" si="141"/>
        <v>7.7599268647719599E-2</v>
      </c>
      <c r="AC89" s="75"/>
      <c r="AE89" s="111"/>
    </row>
    <row r="90" spans="1:31" x14ac:dyDescent="0.35">
      <c r="A90" s="1" t="s">
        <v>172</v>
      </c>
      <c r="B90" s="35">
        <v>0</v>
      </c>
      <c r="C90" s="35">
        <v>0</v>
      </c>
      <c r="D90" s="35">
        <v>1029.17</v>
      </c>
      <c r="E90" s="26">
        <v>1455.58</v>
      </c>
      <c r="F90" s="35">
        <v>3750.15</v>
      </c>
      <c r="G90" s="35">
        <v>0</v>
      </c>
      <c r="H90" s="35">
        <f t="shared" si="142"/>
        <v>2807.99</v>
      </c>
      <c r="I90" s="26"/>
      <c r="M90" s="35">
        <v>4064.7699999999995</v>
      </c>
      <c r="N90" s="35">
        <v>2192.1199999999994</v>
      </c>
      <c r="O90" s="35">
        <v>2439.3399999999992</v>
      </c>
      <c r="P90" s="35">
        <f t="shared" si="138"/>
        <v>3750.15</v>
      </c>
      <c r="Q90" s="35">
        <v>4149.4900000000007</v>
      </c>
      <c r="R90" s="35">
        <v>3690.83</v>
      </c>
      <c r="S90" s="35">
        <v>1214.19</v>
      </c>
      <c r="T90" s="35">
        <f t="shared" si="139"/>
        <v>0</v>
      </c>
      <c r="U90" s="35">
        <v>3266.82</v>
      </c>
      <c r="V90" s="35">
        <v>3396.8100000000004</v>
      </c>
      <c r="W90" s="35">
        <v>4338.42</v>
      </c>
      <c r="X90" s="35">
        <v>2807.99</v>
      </c>
      <c r="Y90" s="35">
        <v>3656.8</v>
      </c>
      <c r="Z90" s="35">
        <v>3556.9300000000003</v>
      </c>
      <c r="AA90" s="69">
        <f t="shared" si="140"/>
        <v>4.7138344505580188E-2</v>
      </c>
      <c r="AB90" s="69">
        <f t="shared" si="141"/>
        <v>-2.7310763509078906E-2</v>
      </c>
      <c r="AC90" s="75"/>
      <c r="AE90" s="111"/>
    </row>
    <row r="91" spans="1:31" x14ac:dyDescent="0.35">
      <c r="A91" s="1" t="s">
        <v>173</v>
      </c>
      <c r="B91" s="35">
        <v>59.63</v>
      </c>
      <c r="C91" s="35">
        <v>49.500000000000007</v>
      </c>
      <c r="D91" s="35">
        <v>267.05</v>
      </c>
      <c r="E91" s="26">
        <f>663.27+0.5</f>
        <v>663.77</v>
      </c>
      <c r="F91" s="35">
        <f>1011.65+9.47</f>
        <v>1021.12</v>
      </c>
      <c r="G91" s="35">
        <v>1164.82</v>
      </c>
      <c r="H91" s="35">
        <f t="shared" si="142"/>
        <v>1240.9700000000003</v>
      </c>
      <c r="I91" s="26"/>
      <c r="M91" s="35">
        <f>919.45+0.62</f>
        <v>920.07</v>
      </c>
      <c r="N91" s="35">
        <f>850.79+0.45</f>
        <v>851.24</v>
      </c>
      <c r="O91" s="35">
        <f>711.77+0.27</f>
        <v>712.04</v>
      </c>
      <c r="P91" s="35">
        <f t="shared" si="138"/>
        <v>1021.12</v>
      </c>
      <c r="Q91" s="35">
        <f>1004.86+8.5</f>
        <v>1013.36</v>
      </c>
      <c r="R91" s="35">
        <f>1088.84+9.11</f>
        <v>1097.9499999999998</v>
      </c>
      <c r="S91" s="35">
        <f>1123.57+11.56</f>
        <v>1135.1299999999999</v>
      </c>
      <c r="T91" s="35">
        <f t="shared" si="139"/>
        <v>1164.82</v>
      </c>
      <c r="U91" s="35">
        <f>1167.63+15.04</f>
        <v>1182.67</v>
      </c>
      <c r="V91" s="35">
        <f>1177.44+18.49</f>
        <v>1195.93</v>
      </c>
      <c r="W91" s="35">
        <f>1158.19+22.14</f>
        <v>1180.3300000000002</v>
      </c>
      <c r="X91" s="35">
        <v>1240.9700000000003</v>
      </c>
      <c r="Y91" s="35">
        <v>1325.1599999999999</v>
      </c>
      <c r="Z91" s="35">
        <v>1294.1400000000003</v>
      </c>
      <c r="AA91" s="69">
        <f t="shared" si="140"/>
        <v>8.2120190981077812E-2</v>
      </c>
      <c r="AB91" s="69">
        <f t="shared" si="141"/>
        <v>-2.3408494068640429E-2</v>
      </c>
      <c r="AC91" s="75"/>
      <c r="AE91" s="111"/>
    </row>
    <row r="92" spans="1:31" ht="29" x14ac:dyDescent="0.35">
      <c r="A92" s="50" t="s">
        <v>198</v>
      </c>
      <c r="B92" s="35">
        <v>64.27</v>
      </c>
      <c r="C92" s="35">
        <v>97.61999999999999</v>
      </c>
      <c r="D92" s="35">
        <v>167.58999999999997</v>
      </c>
      <c r="E92" s="26">
        <v>204.84</v>
      </c>
      <c r="F92" s="35">
        <v>164.01</v>
      </c>
      <c r="G92" s="35">
        <v>199.97</v>
      </c>
      <c r="H92" s="35">
        <f t="shared" si="142"/>
        <v>253.47</v>
      </c>
      <c r="I92" s="26"/>
      <c r="M92" s="35">
        <v>184.64</v>
      </c>
      <c r="N92" s="35">
        <v>169.55</v>
      </c>
      <c r="O92" s="35">
        <v>160.18</v>
      </c>
      <c r="P92" s="35">
        <f t="shared" si="138"/>
        <v>164.01</v>
      </c>
      <c r="Q92" s="35">
        <v>177.1</v>
      </c>
      <c r="R92" s="35">
        <v>179.42000000000002</v>
      </c>
      <c r="S92" s="35">
        <v>192.68</v>
      </c>
      <c r="T92" s="35">
        <f t="shared" si="139"/>
        <v>199.97</v>
      </c>
      <c r="U92" s="35">
        <v>202.49</v>
      </c>
      <c r="V92" s="35">
        <v>222.76</v>
      </c>
      <c r="W92" s="35">
        <v>223.11</v>
      </c>
      <c r="X92" s="35">
        <v>253.47</v>
      </c>
      <c r="Y92" s="35">
        <v>257.02</v>
      </c>
      <c r="Z92" s="35">
        <v>256.23</v>
      </c>
      <c r="AA92" s="69">
        <f t="shared" si="140"/>
        <v>0.1502513916322501</v>
      </c>
      <c r="AB92" s="69">
        <f t="shared" si="141"/>
        <v>-3.0736907633646116E-3</v>
      </c>
      <c r="AC92" s="75"/>
      <c r="AE92" s="111"/>
    </row>
    <row r="93" spans="1:31" x14ac:dyDescent="0.35">
      <c r="A93" s="50" t="s">
        <v>238</v>
      </c>
      <c r="B93" s="35">
        <v>26.279999999999998</v>
      </c>
      <c r="C93" s="35">
        <v>63.81</v>
      </c>
      <c r="D93" s="35">
        <v>14.22</v>
      </c>
      <c r="E93" s="35">
        <v>0</v>
      </c>
      <c r="F93" s="35">
        <v>0</v>
      </c>
      <c r="G93" s="35">
        <v>0</v>
      </c>
      <c r="H93" s="35">
        <f t="shared" si="142"/>
        <v>28.319999999999993</v>
      </c>
      <c r="I93" s="26"/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f t="shared" si="139"/>
        <v>0</v>
      </c>
      <c r="U93" s="35">
        <v>0</v>
      </c>
      <c r="V93" s="35">
        <v>8.52</v>
      </c>
      <c r="W93" s="35">
        <v>27.099999999999994</v>
      </c>
      <c r="X93" s="35">
        <v>28.319999999999993</v>
      </c>
      <c r="Y93" s="35">
        <v>22.22</v>
      </c>
      <c r="Z93" s="35">
        <v>34.460000000000008</v>
      </c>
      <c r="AA93" s="69" t="str">
        <f>IFERROR(Y93/U93-1,"")</f>
        <v/>
      </c>
      <c r="AB93" s="69">
        <f>IFERROR(Z93/Y93-1,"")</f>
        <v>0.55085508550855122</v>
      </c>
      <c r="AC93" s="75"/>
      <c r="AE93" s="111"/>
    </row>
    <row r="94" spans="1:31" x14ac:dyDescent="0.35">
      <c r="A94" s="1" t="s">
        <v>174</v>
      </c>
      <c r="B94" s="35">
        <f>26.28+2.26+22.5-B93</f>
        <v>24.76</v>
      </c>
      <c r="C94" s="35">
        <f>112.77-C93</f>
        <v>48.959999999999994</v>
      </c>
      <c r="D94" s="35">
        <v>70.349999999999994</v>
      </c>
      <c r="E94" s="26">
        <f>118.71-0.5</f>
        <v>118.21</v>
      </c>
      <c r="F94" s="35">
        <f>112.06-9.47</f>
        <v>102.59</v>
      </c>
      <c r="G94" s="35">
        <v>86.21</v>
      </c>
      <c r="H94" s="35">
        <f t="shared" si="142"/>
        <v>117.76000000000002</v>
      </c>
      <c r="I94" s="26"/>
      <c r="M94" s="35">
        <f>79.35-0.62</f>
        <v>78.72999999999999</v>
      </c>
      <c r="N94" s="35">
        <f>81.07-0.45</f>
        <v>80.61999999999999</v>
      </c>
      <c r="O94" s="35">
        <f>70.19-0.27</f>
        <v>69.92</v>
      </c>
      <c r="P94" s="35">
        <f t="shared" si="138"/>
        <v>102.59</v>
      </c>
      <c r="Q94" s="35">
        <f>87.51-8.5</f>
        <v>79.010000000000005</v>
      </c>
      <c r="R94" s="35">
        <f>98.46-9.11</f>
        <v>89.35</v>
      </c>
      <c r="S94" s="35">
        <f>139.63-11.56</f>
        <v>128.07</v>
      </c>
      <c r="T94" s="35">
        <f t="shared" si="139"/>
        <v>86.21</v>
      </c>
      <c r="U94" s="35">
        <v>73.97</v>
      </c>
      <c r="V94" s="35">
        <v>66.42</v>
      </c>
      <c r="W94" s="35">
        <v>97.01</v>
      </c>
      <c r="X94" s="35">
        <v>117.76000000000002</v>
      </c>
      <c r="Y94" s="35">
        <v>184.89000000000004</v>
      </c>
      <c r="Z94" s="35">
        <v>154.19999999999993</v>
      </c>
      <c r="AA94" s="69">
        <f t="shared" ref="AA94:AA95" si="143">IFERROR(Z94/V94-1,"")</f>
        <v>1.3215898825654913</v>
      </c>
      <c r="AB94" s="69">
        <f t="shared" ref="AB94:AB95" si="144">IFERROR(Z94/Y94-1,"")</f>
        <v>-0.16599058899886476</v>
      </c>
      <c r="AC94" s="75"/>
      <c r="AE94" s="111"/>
    </row>
    <row r="95" spans="1:31" s="2" customFormat="1" x14ac:dyDescent="0.35">
      <c r="A95" s="2" t="s">
        <v>35</v>
      </c>
      <c r="B95" s="24">
        <f t="shared" ref="B95:G95" si="145">SUM(B88:B94)</f>
        <v>9889.58</v>
      </c>
      <c r="C95" s="24">
        <f t="shared" si="145"/>
        <v>13649.42</v>
      </c>
      <c r="D95" s="24">
        <f t="shared" si="145"/>
        <v>24815.260000000002</v>
      </c>
      <c r="E95" s="4">
        <f t="shared" si="145"/>
        <v>34802.089999999989</v>
      </c>
      <c r="F95" s="24">
        <f t="shared" si="145"/>
        <v>45101.549999999988</v>
      </c>
      <c r="G95" s="24">
        <f t="shared" si="145"/>
        <v>51178.15</v>
      </c>
      <c r="H95" s="24">
        <f t="shared" ref="H95" si="146">SUM(H88:H94)</f>
        <v>67389.610000000015</v>
      </c>
      <c r="I95" s="4"/>
      <c r="M95" s="24">
        <f t="shared" ref="M95:T95" si="147">SUM(M88:M94)</f>
        <v>36987.929999999993</v>
      </c>
      <c r="N95" s="24">
        <f t="shared" si="147"/>
        <v>37223.770000000004</v>
      </c>
      <c r="O95" s="24">
        <f t="shared" si="147"/>
        <v>40084.189999999995</v>
      </c>
      <c r="P95" s="24">
        <f t="shared" si="147"/>
        <v>45101.549999999988</v>
      </c>
      <c r="Q95" s="24">
        <f t="shared" si="147"/>
        <v>45780.280000000013</v>
      </c>
      <c r="R95" s="24">
        <f t="shared" si="147"/>
        <v>46324.609999999993</v>
      </c>
      <c r="S95" s="24">
        <f>SUM(S88:S94)</f>
        <v>46310.049999999996</v>
      </c>
      <c r="T95" s="24">
        <f t="shared" si="147"/>
        <v>51178.15</v>
      </c>
      <c r="U95" s="24">
        <f t="shared" ref="U95:V95" si="148">SUM(U88:U94)</f>
        <v>54952.56</v>
      </c>
      <c r="V95" s="24">
        <f t="shared" si="148"/>
        <v>59563.19999999999</v>
      </c>
      <c r="W95" s="24">
        <f>SUM(W88:W94)</f>
        <v>65496.42000000002</v>
      </c>
      <c r="X95" s="24">
        <f>SUM(X88:X94)</f>
        <v>67389.610000000015</v>
      </c>
      <c r="Y95" s="24">
        <f>SUM(Y88:Y94)</f>
        <v>76077.58</v>
      </c>
      <c r="Z95" s="24">
        <f>SUM(Z88:Z94)</f>
        <v>80434.300000000017</v>
      </c>
      <c r="AA95" s="71">
        <f t="shared" si="143"/>
        <v>0.35040259757702796</v>
      </c>
      <c r="AB95" s="71">
        <f t="shared" si="144"/>
        <v>5.7266805805337384E-2</v>
      </c>
      <c r="AC95" s="76"/>
      <c r="AD95" s="124"/>
    </row>
    <row r="96" spans="1:31" x14ac:dyDescent="0.35">
      <c r="B96" s="42"/>
      <c r="C96" s="42"/>
      <c r="D96" s="42"/>
      <c r="E96" s="39"/>
      <c r="F96" s="46"/>
      <c r="G96" s="46"/>
      <c r="H96" s="46"/>
      <c r="I96" s="39"/>
      <c r="M96" s="46"/>
      <c r="N96" s="46"/>
      <c r="O96" s="46"/>
      <c r="P96" s="46"/>
      <c r="Q96" s="42"/>
      <c r="R96" s="42"/>
      <c r="S96" s="42"/>
      <c r="T96" s="46"/>
      <c r="U96" s="42"/>
      <c r="V96" s="42"/>
      <c r="W96" s="42"/>
      <c r="X96" s="42"/>
      <c r="Y96" s="42"/>
      <c r="Z96" s="42"/>
      <c r="AA96" s="121"/>
    </row>
    <row r="97" spans="1:31" s="2" customFormat="1" x14ac:dyDescent="0.35">
      <c r="A97" s="2" t="s">
        <v>175</v>
      </c>
      <c r="B97" s="43"/>
      <c r="C97" s="43"/>
      <c r="D97" s="43"/>
      <c r="E97" s="34"/>
      <c r="F97" s="24"/>
      <c r="G97" s="24"/>
      <c r="H97" s="24"/>
      <c r="I97" s="34"/>
      <c r="M97" s="24"/>
      <c r="N97" s="24"/>
      <c r="O97" s="24"/>
      <c r="P97" s="24"/>
      <c r="Q97" s="43"/>
      <c r="R97" s="43"/>
      <c r="S97" s="43"/>
      <c r="T97" s="24"/>
      <c r="U97" s="43"/>
      <c r="V97" s="43"/>
      <c r="W97" s="43"/>
      <c r="X97" s="43"/>
      <c r="Y97" s="43"/>
      <c r="Z97" s="43"/>
      <c r="AA97" s="70"/>
      <c r="AB97" s="70"/>
      <c r="AC97" s="70"/>
      <c r="AD97" s="1"/>
    </row>
    <row r="98" spans="1:31" x14ac:dyDescent="0.35">
      <c r="A98" s="1" t="s">
        <v>176</v>
      </c>
      <c r="B98" s="35">
        <f>0.56+32.37</f>
        <v>32.93</v>
      </c>
      <c r="C98" s="35">
        <v>5.37</v>
      </c>
      <c r="D98" s="35">
        <v>13.579999999999995</v>
      </c>
      <c r="E98" s="26">
        <v>4.32</v>
      </c>
      <c r="F98" s="35">
        <v>48.47</v>
      </c>
      <c r="G98" s="35">
        <v>62.05</v>
      </c>
      <c r="H98" s="35">
        <f t="shared" ref="H98:H105" si="149">X98</f>
        <v>149.13</v>
      </c>
      <c r="I98" s="26"/>
      <c r="M98" s="35">
        <v>3.86</v>
      </c>
      <c r="N98" s="35">
        <v>0.06</v>
      </c>
      <c r="O98" s="35">
        <v>1.08</v>
      </c>
      <c r="P98" s="35">
        <f t="shared" ref="P98:P105" si="150">F98</f>
        <v>48.47</v>
      </c>
      <c r="Q98" s="35">
        <v>44.19</v>
      </c>
      <c r="R98" s="35">
        <v>70.88</v>
      </c>
      <c r="S98" s="35">
        <v>62.67</v>
      </c>
      <c r="T98" s="35">
        <f>G98</f>
        <v>62.05</v>
      </c>
      <c r="U98" s="35">
        <v>57.73</v>
      </c>
      <c r="V98" s="35">
        <v>96.009999999999977</v>
      </c>
      <c r="W98" s="35">
        <v>95.029999999999987</v>
      </c>
      <c r="X98" s="35">
        <v>149.13</v>
      </c>
      <c r="Y98" s="35">
        <v>114.28</v>
      </c>
      <c r="Z98" s="35">
        <v>113.94999999999997</v>
      </c>
      <c r="AA98" s="69">
        <f t="shared" ref="AA98:AA106" si="151">IFERROR(Z98/V98-1,"")</f>
        <v>0.18685553588167902</v>
      </c>
      <c r="AB98" s="69">
        <f t="shared" ref="AB98:AB106" si="152">IFERROR(Z98/Y98-1,"")</f>
        <v>-2.8876443822193343E-3</v>
      </c>
      <c r="AC98" s="75"/>
      <c r="AE98" s="111"/>
    </row>
    <row r="99" spans="1:31" x14ac:dyDescent="0.35">
      <c r="A99" s="1" t="s">
        <v>177</v>
      </c>
      <c r="B99" s="35">
        <v>0</v>
      </c>
      <c r="C99" s="35">
        <v>0</v>
      </c>
      <c r="D99" s="35">
        <v>0</v>
      </c>
      <c r="E99" s="26" t="s">
        <v>183</v>
      </c>
      <c r="F99" s="35">
        <v>2395.86</v>
      </c>
      <c r="G99" s="35">
        <v>1687.82</v>
      </c>
      <c r="H99" s="35">
        <f t="shared" si="149"/>
        <v>3469.49</v>
      </c>
      <c r="I99" s="26"/>
      <c r="M99" s="35">
        <v>1895.15</v>
      </c>
      <c r="N99" s="35">
        <v>2394.58</v>
      </c>
      <c r="O99" s="35">
        <v>2395.2199999999998</v>
      </c>
      <c r="P99" s="35">
        <f t="shared" si="150"/>
        <v>2395.86</v>
      </c>
      <c r="Q99" s="35">
        <v>2396.5</v>
      </c>
      <c r="R99" s="35">
        <v>2397.21</v>
      </c>
      <c r="S99" s="35">
        <v>2187.7199999999998</v>
      </c>
      <c r="T99" s="35">
        <f t="shared" ref="T99:T105" si="153">G99</f>
        <v>1687.82</v>
      </c>
      <c r="U99" s="35">
        <v>1688.23</v>
      </c>
      <c r="V99" s="35">
        <v>1688.67</v>
      </c>
      <c r="W99" s="35">
        <v>3467.79</v>
      </c>
      <c r="X99" s="35">
        <v>3469.49</v>
      </c>
      <c r="Y99" s="35">
        <v>2771.09</v>
      </c>
      <c r="Z99" s="35">
        <v>2772.47</v>
      </c>
      <c r="AA99" s="69">
        <f t="shared" si="151"/>
        <v>0.64180686575825918</v>
      </c>
      <c r="AB99" s="69">
        <f t="shared" si="152"/>
        <v>4.9799898234970108E-4</v>
      </c>
      <c r="AC99" s="75"/>
      <c r="AE99" s="111"/>
    </row>
    <row r="100" spans="1:31" x14ac:dyDescent="0.35">
      <c r="A100" s="1" t="s">
        <v>178</v>
      </c>
      <c r="B100" s="35">
        <v>6630.45</v>
      </c>
      <c r="C100" s="35">
        <v>10198.76</v>
      </c>
      <c r="D100" s="35">
        <v>19256.41</v>
      </c>
      <c r="E100" s="26">
        <v>24938.05</v>
      </c>
      <c r="F100" s="35">
        <v>28141.029999999995</v>
      </c>
      <c r="G100" s="35">
        <v>32979.85</v>
      </c>
      <c r="H100" s="35">
        <f t="shared" si="149"/>
        <v>44665.240000000005</v>
      </c>
      <c r="I100" s="26"/>
      <c r="M100" s="35">
        <v>24645.61</v>
      </c>
      <c r="N100" s="35">
        <v>23971.199999999997</v>
      </c>
      <c r="O100" s="35">
        <v>25998.289999999997</v>
      </c>
      <c r="P100" s="35">
        <f t="shared" si="150"/>
        <v>28141.029999999995</v>
      </c>
      <c r="Q100" s="35">
        <v>28438.009999999995</v>
      </c>
      <c r="R100" s="35">
        <v>28356.410000000003</v>
      </c>
      <c r="S100" s="35">
        <v>28048.089999999997</v>
      </c>
      <c r="T100" s="35">
        <f t="shared" si="153"/>
        <v>32979.85</v>
      </c>
      <c r="U100" s="35">
        <v>36115.089999999997</v>
      </c>
      <c r="V100" s="35">
        <v>39852.010000000009</v>
      </c>
      <c r="W100" s="35">
        <v>43546.090000000004</v>
      </c>
      <c r="X100" s="35">
        <v>44665.240000000005</v>
      </c>
      <c r="Y100" s="35">
        <v>53492.569999999992</v>
      </c>
      <c r="Z100" s="35">
        <v>57245.130000000005</v>
      </c>
      <c r="AA100" s="69">
        <f t="shared" si="151"/>
        <v>0.43644272898656777</v>
      </c>
      <c r="AB100" s="69">
        <f t="shared" si="152"/>
        <v>7.0151050884263322E-2</v>
      </c>
      <c r="AC100" s="75"/>
      <c r="AE100" s="111"/>
    </row>
    <row r="101" spans="1:31" x14ac:dyDescent="0.35">
      <c r="A101" s="1" t="s">
        <v>179</v>
      </c>
      <c r="B101" s="35">
        <v>119.07</v>
      </c>
      <c r="C101" s="35">
        <v>136.74</v>
      </c>
      <c r="D101" s="35">
        <v>248.23000000000002</v>
      </c>
      <c r="E101" s="26">
        <v>355.83</v>
      </c>
      <c r="F101" s="35">
        <v>534.78</v>
      </c>
      <c r="G101" s="35">
        <v>569.1</v>
      </c>
      <c r="H101" s="35">
        <f t="shared" si="149"/>
        <v>754.45999999999992</v>
      </c>
      <c r="I101" s="26"/>
      <c r="M101" s="35">
        <v>451.34</v>
      </c>
      <c r="N101" s="35">
        <v>754.69999999999993</v>
      </c>
      <c r="O101" s="35">
        <v>586.39</v>
      </c>
      <c r="P101" s="35">
        <f t="shared" si="150"/>
        <v>534.78</v>
      </c>
      <c r="Q101" s="35">
        <v>545.76000000000022</v>
      </c>
      <c r="R101" s="35">
        <v>647.95000000000005</v>
      </c>
      <c r="S101" s="35">
        <v>646.21</v>
      </c>
      <c r="T101" s="35">
        <f t="shared" si="153"/>
        <v>569.1</v>
      </c>
      <c r="U101" s="35">
        <v>611.65</v>
      </c>
      <c r="V101" s="35">
        <v>891.34</v>
      </c>
      <c r="W101" s="35">
        <v>738.30000000000018</v>
      </c>
      <c r="X101" s="35">
        <v>754.45999999999992</v>
      </c>
      <c r="Y101" s="35">
        <v>778.13000000000022</v>
      </c>
      <c r="Z101" s="35">
        <v>643.94000000000017</v>
      </c>
      <c r="AA101" s="69">
        <f t="shared" si="151"/>
        <v>-0.27755962932214406</v>
      </c>
      <c r="AB101" s="69">
        <f t="shared" si="152"/>
        <v>-0.17245190392350895</v>
      </c>
      <c r="AC101" s="75"/>
      <c r="AE101" s="111"/>
    </row>
    <row r="102" spans="1:31" x14ac:dyDescent="0.35">
      <c r="A102" s="1" t="s">
        <v>180</v>
      </c>
      <c r="B102" s="35">
        <v>20.45</v>
      </c>
      <c r="C102" s="35">
        <v>18.740000000000002</v>
      </c>
      <c r="D102" s="35">
        <v>29.62</v>
      </c>
      <c r="E102" s="26">
        <v>66.39</v>
      </c>
      <c r="F102" s="35">
        <v>32.36</v>
      </c>
      <c r="G102" s="35">
        <v>45.36</v>
      </c>
      <c r="H102" s="35">
        <f t="shared" si="149"/>
        <v>59.559999999999995</v>
      </c>
      <c r="I102" s="26"/>
      <c r="M102" s="35">
        <v>59.63</v>
      </c>
      <c r="N102" s="35">
        <v>73.25</v>
      </c>
      <c r="O102" s="35">
        <v>86.4</v>
      </c>
      <c r="P102" s="35">
        <f t="shared" si="150"/>
        <v>32.36</v>
      </c>
      <c r="Q102" s="35">
        <v>34.25</v>
      </c>
      <c r="R102" s="35">
        <v>40.81</v>
      </c>
      <c r="S102" s="35">
        <v>47.78</v>
      </c>
      <c r="T102" s="35">
        <f t="shared" si="153"/>
        <v>45.36</v>
      </c>
      <c r="U102" s="35">
        <v>56.73</v>
      </c>
      <c r="V102" s="35">
        <v>64.5</v>
      </c>
      <c r="W102" s="35">
        <v>72.289999999999992</v>
      </c>
      <c r="X102" s="35">
        <v>59.559999999999995</v>
      </c>
      <c r="Y102" s="35">
        <v>74.47</v>
      </c>
      <c r="Z102" s="35">
        <v>80.319999999999993</v>
      </c>
      <c r="AA102" s="69">
        <f t="shared" si="151"/>
        <v>0.24527131782945721</v>
      </c>
      <c r="AB102" s="69">
        <f t="shared" si="152"/>
        <v>7.8555122868269045E-2</v>
      </c>
      <c r="AC102" s="75"/>
      <c r="AE102" s="111"/>
    </row>
    <row r="103" spans="1:31" x14ac:dyDescent="0.35">
      <c r="A103" s="1" t="s">
        <v>181</v>
      </c>
      <c r="B103" s="35">
        <v>0</v>
      </c>
      <c r="C103" s="35">
        <v>0</v>
      </c>
      <c r="D103" s="35">
        <v>0</v>
      </c>
      <c r="E103" s="26">
        <v>31.15</v>
      </c>
      <c r="F103" s="35">
        <v>79.58</v>
      </c>
      <c r="G103" s="35">
        <v>17.39</v>
      </c>
      <c r="H103" s="35">
        <f t="shared" si="149"/>
        <v>0</v>
      </c>
      <c r="I103" s="26"/>
      <c r="M103" s="35">
        <v>105.56</v>
      </c>
      <c r="N103" s="35">
        <v>67.52</v>
      </c>
      <c r="O103" s="35">
        <v>35.910000000000004</v>
      </c>
      <c r="P103" s="35">
        <f t="shared" si="150"/>
        <v>79.58</v>
      </c>
      <c r="Q103" s="35">
        <v>116.42</v>
      </c>
      <c r="R103" s="35">
        <v>120.09</v>
      </c>
      <c r="S103" s="35">
        <v>148.63999999999999</v>
      </c>
      <c r="T103" s="35">
        <f t="shared" si="153"/>
        <v>17.39</v>
      </c>
      <c r="U103" s="35">
        <v>11.18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69" t="str">
        <f t="shared" si="151"/>
        <v/>
      </c>
      <c r="AB103" s="69" t="str">
        <f t="shared" si="152"/>
        <v/>
      </c>
      <c r="AC103" s="75"/>
      <c r="AE103" s="111"/>
    </row>
    <row r="104" spans="1:31" x14ac:dyDescent="0.35">
      <c r="A104" s="1" t="s">
        <v>182</v>
      </c>
      <c r="B104" s="35">
        <f>22.26+0.84</f>
        <v>23.1</v>
      </c>
      <c r="C104" s="35">
        <v>37.660000000000004</v>
      </c>
      <c r="D104" s="35">
        <v>40.81</v>
      </c>
      <c r="E104" s="26">
        <v>72.09</v>
      </c>
      <c r="F104" s="35">
        <v>64.040000000000006</v>
      </c>
      <c r="G104" s="35">
        <v>79.73</v>
      </c>
      <c r="H104" s="35">
        <f t="shared" si="149"/>
        <v>118.34</v>
      </c>
      <c r="I104" s="26"/>
      <c r="M104" s="35">
        <v>100.42</v>
      </c>
      <c r="N104" s="35">
        <v>82.71</v>
      </c>
      <c r="O104" s="35">
        <v>60.36</v>
      </c>
      <c r="P104" s="35">
        <f t="shared" si="150"/>
        <v>64.040000000000006</v>
      </c>
      <c r="Q104" s="35">
        <v>32.51</v>
      </c>
      <c r="R104" s="35">
        <v>64.38</v>
      </c>
      <c r="S104" s="35">
        <v>68.69</v>
      </c>
      <c r="T104" s="35">
        <f t="shared" si="153"/>
        <v>79.73</v>
      </c>
      <c r="U104" s="35">
        <v>132.74</v>
      </c>
      <c r="V104" s="35">
        <v>114.48</v>
      </c>
      <c r="W104" s="35">
        <v>93.61999999999999</v>
      </c>
      <c r="X104" s="35">
        <v>118.34</v>
      </c>
      <c r="Y104" s="35">
        <v>167.32</v>
      </c>
      <c r="Z104" s="35">
        <v>111.16999999999992</v>
      </c>
      <c r="AA104" s="69">
        <f t="shared" si="151"/>
        <v>-2.8913347309574511E-2</v>
      </c>
      <c r="AB104" s="69">
        <f t="shared" si="152"/>
        <v>-0.33558450872579537</v>
      </c>
      <c r="AC104" s="75"/>
      <c r="AE104" s="111"/>
    </row>
    <row r="105" spans="1:31" x14ac:dyDescent="0.35">
      <c r="A105" s="1" t="s">
        <v>87</v>
      </c>
      <c r="B105" s="35">
        <v>3063.58</v>
      </c>
      <c r="C105" s="35">
        <v>3252.15</v>
      </c>
      <c r="D105" s="35">
        <v>5226.6099999999988</v>
      </c>
      <c r="E105" s="26">
        <v>9334.26</v>
      </c>
      <c r="F105" s="35">
        <v>13805.43</v>
      </c>
      <c r="G105" s="35">
        <v>15736.85</v>
      </c>
      <c r="H105" s="35">
        <f t="shared" si="149"/>
        <v>18173.390000000003</v>
      </c>
      <c r="I105" s="26"/>
      <c r="M105" s="35">
        <v>9726.3599999999988</v>
      </c>
      <c r="N105" s="35">
        <v>9879.75</v>
      </c>
      <c r="O105" s="35">
        <v>10920.54</v>
      </c>
      <c r="P105" s="35">
        <f t="shared" si="150"/>
        <v>13805.43</v>
      </c>
      <c r="Q105" s="35">
        <v>14172.64</v>
      </c>
      <c r="R105" s="35">
        <v>14626.879999999997</v>
      </c>
      <c r="S105" s="35">
        <v>15100.25</v>
      </c>
      <c r="T105" s="35">
        <f t="shared" si="153"/>
        <v>15736.85</v>
      </c>
      <c r="U105" s="35">
        <v>16279.21</v>
      </c>
      <c r="V105" s="35">
        <v>16856.190000000002</v>
      </c>
      <c r="W105" s="35">
        <v>17483.3</v>
      </c>
      <c r="X105" s="35">
        <v>18173.390000000003</v>
      </c>
      <c r="Y105" s="35">
        <v>18679.72</v>
      </c>
      <c r="Z105" s="35">
        <v>19467.320000000003</v>
      </c>
      <c r="AA105" s="69">
        <f t="shared" si="151"/>
        <v>0.15490629851704329</v>
      </c>
      <c r="AB105" s="69">
        <f t="shared" si="152"/>
        <v>4.2163372898523122E-2</v>
      </c>
      <c r="AC105" s="75"/>
      <c r="AE105" s="111"/>
    </row>
    <row r="106" spans="1:31" s="2" customFormat="1" x14ac:dyDescent="0.35">
      <c r="A106" s="2" t="s">
        <v>35</v>
      </c>
      <c r="B106" s="24">
        <f t="shared" ref="B106:G106" si="154">SUM(B98:B105)</f>
        <v>9889.58</v>
      </c>
      <c r="C106" s="24">
        <f t="shared" si="154"/>
        <v>13649.42</v>
      </c>
      <c r="D106" s="24">
        <f t="shared" si="154"/>
        <v>24815.260000000002</v>
      </c>
      <c r="E106" s="4">
        <f t="shared" si="154"/>
        <v>34802.090000000004</v>
      </c>
      <c r="F106" s="24">
        <f t="shared" si="154"/>
        <v>45101.549999999996</v>
      </c>
      <c r="G106" s="24">
        <f t="shared" si="154"/>
        <v>51178.15</v>
      </c>
      <c r="H106" s="24">
        <f t="shared" ref="H106" si="155">SUM(H98:H105)</f>
        <v>67389.61</v>
      </c>
      <c r="I106" s="4"/>
      <c r="M106" s="24">
        <f t="shared" ref="M106:V106" si="156">SUM(M98:M105)</f>
        <v>36987.93</v>
      </c>
      <c r="N106" s="24">
        <f t="shared" si="156"/>
        <v>37223.769999999997</v>
      </c>
      <c r="O106" s="24">
        <f t="shared" si="156"/>
        <v>40084.19</v>
      </c>
      <c r="P106" s="24">
        <f t="shared" si="156"/>
        <v>45101.549999999996</v>
      </c>
      <c r="Q106" s="24">
        <f t="shared" si="156"/>
        <v>45780.279999999984</v>
      </c>
      <c r="R106" s="24">
        <f t="shared" si="156"/>
        <v>46324.61</v>
      </c>
      <c r="S106" s="24">
        <f>SUM(S98:S105)</f>
        <v>46310.049999999988</v>
      </c>
      <c r="T106" s="24">
        <f t="shared" si="156"/>
        <v>51178.15</v>
      </c>
      <c r="U106" s="24">
        <f t="shared" si="156"/>
        <v>54952.56</v>
      </c>
      <c r="V106" s="24">
        <f t="shared" si="156"/>
        <v>59563.200000000012</v>
      </c>
      <c r="W106" s="24">
        <f t="shared" ref="W106:X106" si="157">SUM(W98:W105)</f>
        <v>65496.420000000013</v>
      </c>
      <c r="X106" s="24">
        <f t="shared" si="157"/>
        <v>67389.61</v>
      </c>
      <c r="Y106" s="24">
        <f t="shared" ref="Y106:Z106" si="158">SUM(Y98:Y105)</f>
        <v>76077.579999999987</v>
      </c>
      <c r="Z106" s="24">
        <f t="shared" si="158"/>
        <v>80434.3</v>
      </c>
      <c r="AA106" s="71">
        <f t="shared" si="151"/>
        <v>0.3504025975770273</v>
      </c>
      <c r="AB106" s="71">
        <f t="shared" si="152"/>
        <v>5.7266805805337384E-2</v>
      </c>
      <c r="AC106" s="76"/>
      <c r="AD106" s="124"/>
    </row>
    <row r="107" spans="1:31" x14ac:dyDescent="0.35">
      <c r="A107" s="1" t="s">
        <v>184</v>
      </c>
      <c r="B107" s="42">
        <f t="shared" ref="B107:G107" si="159">B106-B95</f>
        <v>0</v>
      </c>
      <c r="C107" s="42">
        <f t="shared" si="159"/>
        <v>0</v>
      </c>
      <c r="D107" s="42">
        <f t="shared" si="159"/>
        <v>0</v>
      </c>
      <c r="E107" s="39">
        <f t="shared" si="159"/>
        <v>0</v>
      </c>
      <c r="F107" s="46">
        <f t="shared" si="159"/>
        <v>0</v>
      </c>
      <c r="G107" s="46">
        <f t="shared" si="159"/>
        <v>0</v>
      </c>
      <c r="H107" s="46">
        <f t="shared" ref="H107" si="160">H106-H95</f>
        <v>0</v>
      </c>
      <c r="I107" s="39"/>
      <c r="M107" s="46">
        <f t="shared" ref="M107:T107" si="161">M106-M95</f>
        <v>0</v>
      </c>
      <c r="N107" s="46">
        <f t="shared" si="161"/>
        <v>0</v>
      </c>
      <c r="O107" s="46">
        <f t="shared" si="161"/>
        <v>0</v>
      </c>
      <c r="P107" s="46">
        <f t="shared" si="161"/>
        <v>0</v>
      </c>
      <c r="Q107" s="46">
        <f t="shared" si="161"/>
        <v>0</v>
      </c>
      <c r="R107" s="46">
        <f t="shared" si="161"/>
        <v>0</v>
      </c>
      <c r="S107" s="46">
        <f>S106-S95</f>
        <v>0</v>
      </c>
      <c r="T107" s="46">
        <f t="shared" si="161"/>
        <v>0</v>
      </c>
      <c r="U107" s="46">
        <f t="shared" ref="U107:V107" si="162">U106-U95</f>
        <v>0</v>
      </c>
      <c r="V107" s="46">
        <f t="shared" si="162"/>
        <v>0</v>
      </c>
      <c r="W107" s="42">
        <f t="shared" ref="W107:X107" si="163">W106-W95</f>
        <v>0</v>
      </c>
      <c r="X107" s="42">
        <f t="shared" si="163"/>
        <v>0</v>
      </c>
      <c r="Y107" s="42">
        <f t="shared" ref="Y107:Z107" si="164">Y106-Y95</f>
        <v>0</v>
      </c>
      <c r="Z107" s="42">
        <f t="shared" si="164"/>
        <v>0</v>
      </c>
    </row>
    <row r="108" spans="1:31" x14ac:dyDescent="0.35">
      <c r="F108" s="35"/>
      <c r="G108" s="35"/>
      <c r="H108" s="35"/>
    </row>
    <row r="109" spans="1:31" s="14" customFormat="1" ht="13.5" x14ac:dyDescent="0.35">
      <c r="M109" s="56"/>
      <c r="N109" s="56"/>
      <c r="O109" s="84"/>
      <c r="P109" s="56"/>
      <c r="Q109" s="56"/>
      <c r="R109" s="84"/>
      <c r="S109" s="84"/>
      <c r="T109" s="84"/>
      <c r="U109" s="84"/>
      <c r="V109" s="84"/>
      <c r="W109" s="84"/>
      <c r="X109" s="84"/>
      <c r="Y109" s="84"/>
      <c r="Z109" s="84"/>
      <c r="AA109" s="72"/>
      <c r="AB109" s="72"/>
      <c r="AC109" s="72"/>
    </row>
    <row r="110" spans="1:31" s="5" customFormat="1" x14ac:dyDescent="0.35">
      <c r="A110" s="5" t="s">
        <v>146</v>
      </c>
      <c r="B110" s="22" t="str">
        <f t="shared" ref="B110:H110" si="165">B$1</f>
        <v>FY17</v>
      </c>
      <c r="C110" s="22" t="str">
        <f t="shared" si="165"/>
        <v>FY18</v>
      </c>
      <c r="D110" s="22" t="str">
        <f t="shared" si="165"/>
        <v>FY19</v>
      </c>
      <c r="E110" s="22" t="str">
        <f t="shared" si="165"/>
        <v>FY20</v>
      </c>
      <c r="F110" s="22" t="str">
        <f t="shared" si="165"/>
        <v>FY21</v>
      </c>
      <c r="G110" s="22" t="str">
        <f t="shared" si="165"/>
        <v>FY22</v>
      </c>
      <c r="H110" s="22" t="str">
        <f t="shared" si="165"/>
        <v>FY23</v>
      </c>
      <c r="I110" s="22" t="str">
        <f>I$1</f>
        <v>Yoy%</v>
      </c>
      <c r="M110" s="6" t="str">
        <f t="shared" ref="M110:AB110" si="166">M$1</f>
        <v>Q1FY21</v>
      </c>
      <c r="N110" s="6" t="str">
        <f t="shared" si="166"/>
        <v>Q2FY21</v>
      </c>
      <c r="O110" s="80" t="str">
        <f t="shared" si="166"/>
        <v>Q3FY21</v>
      </c>
      <c r="P110" s="6" t="str">
        <f t="shared" si="166"/>
        <v>Q4FY21</v>
      </c>
      <c r="Q110" s="6" t="str">
        <f t="shared" si="166"/>
        <v>Q1FY22</v>
      </c>
      <c r="R110" s="80" t="str">
        <f t="shared" si="166"/>
        <v>Q2FY22</v>
      </c>
      <c r="S110" s="80" t="str">
        <f t="shared" si="166"/>
        <v>Q3FY22</v>
      </c>
      <c r="T110" s="80" t="str">
        <f t="shared" si="166"/>
        <v>Q4FY22</v>
      </c>
      <c r="U110" s="80" t="str">
        <f t="shared" si="166"/>
        <v>Q1FY23</v>
      </c>
      <c r="V110" s="80" t="str">
        <f t="shared" si="166"/>
        <v>Q2FY23</v>
      </c>
      <c r="W110" s="80" t="str">
        <f t="shared" si="166"/>
        <v>Q3FY23</v>
      </c>
      <c r="X110" s="80" t="str">
        <f t="shared" si="166"/>
        <v>Q4FY23</v>
      </c>
      <c r="Y110" s="80" t="str">
        <f t="shared" si="166"/>
        <v>Q1FY24</v>
      </c>
      <c r="Z110" s="80" t="str">
        <f t="shared" si="166"/>
        <v>Q2FY24</v>
      </c>
      <c r="AA110" s="6" t="str">
        <f t="shared" si="166"/>
        <v>y-o-y</v>
      </c>
      <c r="AB110" s="6" t="str">
        <f t="shared" si="166"/>
        <v>q-o-q</v>
      </c>
      <c r="AC110" s="6"/>
    </row>
    <row r="111" spans="1:31" s="2" customFormat="1" x14ac:dyDescent="0.35">
      <c r="A111" s="2" t="s">
        <v>19</v>
      </c>
      <c r="B111" s="4">
        <f t="shared" ref="B111:G111" si="167">SUM(B112:B116)</f>
        <v>6630.4499999999989</v>
      </c>
      <c r="C111" s="4">
        <f t="shared" si="167"/>
        <v>10198.76</v>
      </c>
      <c r="D111" s="4">
        <f t="shared" si="167"/>
        <v>19256.41</v>
      </c>
      <c r="E111" s="4">
        <f t="shared" si="167"/>
        <v>24938.05</v>
      </c>
      <c r="F111" s="4">
        <f t="shared" si="167"/>
        <v>30536.89</v>
      </c>
      <c r="G111" s="4">
        <f t="shared" si="167"/>
        <v>34667.67</v>
      </c>
      <c r="H111" s="4">
        <f t="shared" ref="H111" si="168">SUM(H112:H116)</f>
        <v>48134.729999999996</v>
      </c>
      <c r="I111" s="30">
        <f t="shared" ref="I111:I118" si="169">H111/G111-1</f>
        <v>0.38846164163902563</v>
      </c>
      <c r="M111" s="24">
        <f t="shared" ref="M111:T111" si="170">SUM(M112:M116)</f>
        <v>26540.76</v>
      </c>
      <c r="N111" s="24">
        <f t="shared" si="170"/>
        <v>26365.78</v>
      </c>
      <c r="O111" s="24">
        <f t="shared" si="170"/>
        <v>28393.51</v>
      </c>
      <c r="P111" s="4">
        <f t="shared" si="170"/>
        <v>30536.89</v>
      </c>
      <c r="Q111" s="4">
        <f t="shared" si="170"/>
        <v>30834.510000000002</v>
      </c>
      <c r="R111" s="4">
        <f t="shared" si="170"/>
        <v>30753.62</v>
      </c>
      <c r="S111" s="4">
        <f>SUM(S112:S116)</f>
        <v>30235.810000000005</v>
      </c>
      <c r="T111" s="4">
        <f t="shared" si="170"/>
        <v>34667.67</v>
      </c>
      <c r="U111" s="4">
        <f t="shared" ref="U111" si="171">SUM(U112:U116)</f>
        <v>37803.32</v>
      </c>
      <c r="V111" s="4">
        <f>SUM(V112:V116)</f>
        <v>41540.679999999993</v>
      </c>
      <c r="W111" s="4">
        <f>SUM(W112:W116)</f>
        <v>47013.88</v>
      </c>
      <c r="X111" s="4">
        <f>SUM(X112:X116)</f>
        <v>48134.729999999996</v>
      </c>
      <c r="Y111" s="4">
        <f>SUM(Y112:Y116)</f>
        <v>56263.66</v>
      </c>
      <c r="Z111" s="4">
        <f>SUM(Z112:Z116)</f>
        <v>60017.600000000006</v>
      </c>
      <c r="AA111" s="71">
        <f t="shared" ref="AA111:AA118" si="172">IFERROR(Z111/V111-1,"")</f>
        <v>0.44479098560736174</v>
      </c>
      <c r="AB111" s="71">
        <f t="shared" ref="AB111:AB118" si="173">IFERROR(Z111/Y111-1,"")</f>
        <v>6.6720508406314272E-2</v>
      </c>
      <c r="AC111" s="76"/>
    </row>
    <row r="112" spans="1:31" x14ac:dyDescent="0.35">
      <c r="A112" s="1" t="s">
        <v>8</v>
      </c>
      <c r="B112" s="26">
        <v>375.48</v>
      </c>
      <c r="C112" s="26">
        <v>2144.9299999999998</v>
      </c>
      <c r="D112" s="26">
        <v>4447.04</v>
      </c>
      <c r="E112" s="26">
        <v>7536.2</v>
      </c>
      <c r="F112" s="26">
        <v>7378.38</v>
      </c>
      <c r="G112" s="26">
        <v>10288.67</v>
      </c>
      <c r="H112" s="26">
        <f t="shared" ref="H112:H116" si="174">X112</f>
        <v>18756.46</v>
      </c>
      <c r="I112" s="30">
        <f t="shared" si="169"/>
        <v>0.82302085692319804</v>
      </c>
      <c r="M112" s="26">
        <v>7083.02</v>
      </c>
      <c r="N112" s="26">
        <v>7518.78</v>
      </c>
      <c r="O112" s="26">
        <v>6711.61</v>
      </c>
      <c r="P112" s="26">
        <f>F112</f>
        <v>7378.38</v>
      </c>
      <c r="Q112" s="26">
        <v>8154.72</v>
      </c>
      <c r="R112" s="26">
        <v>8332.14</v>
      </c>
      <c r="S112" s="26">
        <v>8016.9272955891402</v>
      </c>
      <c r="T112" s="26">
        <f>G112</f>
        <v>10288.67</v>
      </c>
      <c r="U112" s="26">
        <v>12015.77</v>
      </c>
      <c r="V112" s="26">
        <v>16703.419999999998</v>
      </c>
      <c r="W112" s="26">
        <v>18451.64</v>
      </c>
      <c r="X112" s="26">
        <v>18756.46</v>
      </c>
      <c r="Y112" s="26">
        <f>36859.44-Y113</f>
        <v>21924.090000000004</v>
      </c>
      <c r="Z112" s="26">
        <f>39704.57-Z113</f>
        <v>24351.86</v>
      </c>
      <c r="AA112" s="69">
        <f t="shared" si="172"/>
        <v>0.45789664631554516</v>
      </c>
      <c r="AB112" s="69">
        <f t="shared" si="173"/>
        <v>0.11073526882985774</v>
      </c>
      <c r="AC112" s="75"/>
      <c r="AE112" s="111"/>
    </row>
    <row r="113" spans="1:31" x14ac:dyDescent="0.35">
      <c r="A113" s="1" t="s">
        <v>9</v>
      </c>
      <c r="B113" s="26">
        <v>5666.98</v>
      </c>
      <c r="C113" s="26">
        <v>5598.82</v>
      </c>
      <c r="D113" s="26">
        <v>8941.74</v>
      </c>
      <c r="E113" s="26">
        <v>10256.77</v>
      </c>
      <c r="F113" s="26">
        <v>9368.01</v>
      </c>
      <c r="G113" s="26">
        <v>9960.07</v>
      </c>
      <c r="H113" s="26">
        <f t="shared" si="174"/>
        <v>15650.78</v>
      </c>
      <c r="I113" s="30">
        <f t="shared" si="169"/>
        <v>0.5713524101738241</v>
      </c>
      <c r="M113" s="26">
        <v>9771.73</v>
      </c>
      <c r="N113" s="26">
        <v>9003.24</v>
      </c>
      <c r="O113" s="26">
        <v>9683.4199999999983</v>
      </c>
      <c r="P113" s="26">
        <f>F113</f>
        <v>9368.01</v>
      </c>
      <c r="Q113" s="26">
        <v>9556.18</v>
      </c>
      <c r="R113" s="26">
        <v>9468.2199999999993</v>
      </c>
      <c r="S113" s="26">
        <v>10067.982704410862</v>
      </c>
      <c r="T113" s="26">
        <f>G113</f>
        <v>9960.07</v>
      </c>
      <c r="U113" s="26">
        <v>10745.61</v>
      </c>
      <c r="V113" s="26">
        <v>10588.5</v>
      </c>
      <c r="W113" s="26">
        <v>13942.35</v>
      </c>
      <c r="X113" s="26">
        <v>15650.78</v>
      </c>
      <c r="Y113" s="26">
        <v>14935.35</v>
      </c>
      <c r="Z113" s="26">
        <f>15352.71</f>
        <v>15352.71</v>
      </c>
      <c r="AA113" s="69">
        <f t="shared" si="172"/>
        <v>0.44994191811871365</v>
      </c>
      <c r="AB113" s="69">
        <f t="shared" si="173"/>
        <v>2.7944440538721915E-2</v>
      </c>
      <c r="AC113" s="75"/>
      <c r="AE113" s="111"/>
    </row>
    <row r="114" spans="1:31" x14ac:dyDescent="0.35">
      <c r="A114" s="1" t="s">
        <v>10</v>
      </c>
      <c r="B114" s="26" t="s">
        <v>17</v>
      </c>
      <c r="C114" s="26" t="s">
        <v>16</v>
      </c>
      <c r="D114" s="26" t="s">
        <v>15</v>
      </c>
      <c r="E114" s="26">
        <v>601.41999999999996</v>
      </c>
      <c r="F114" s="26">
        <v>427.77</v>
      </c>
      <c r="G114" s="26">
        <v>788.26</v>
      </c>
      <c r="H114" s="26">
        <f t="shared" si="174"/>
        <v>1128.1400000000001</v>
      </c>
      <c r="I114" s="30">
        <f t="shared" si="169"/>
        <v>0.4311775302565144</v>
      </c>
      <c r="M114" s="26">
        <v>560.41999999999996</v>
      </c>
      <c r="N114" s="26">
        <v>514.65</v>
      </c>
      <c r="O114" s="26">
        <v>472.91999999999996</v>
      </c>
      <c r="P114" s="26">
        <f>F114</f>
        <v>427.77</v>
      </c>
      <c r="Q114" s="26">
        <v>385.42</v>
      </c>
      <c r="R114" s="26">
        <v>837.5</v>
      </c>
      <c r="S114" s="26">
        <v>865.08999999999992</v>
      </c>
      <c r="T114" s="26">
        <f>G114</f>
        <v>788.26</v>
      </c>
      <c r="U114" s="26">
        <v>1466.82</v>
      </c>
      <c r="V114" s="26">
        <v>1350.26</v>
      </c>
      <c r="W114" s="26">
        <v>1239.24</v>
      </c>
      <c r="X114" s="26">
        <v>1128.1400000000001</v>
      </c>
      <c r="Y114" s="26">
        <v>1857.5699999999997</v>
      </c>
      <c r="Z114" s="26">
        <v>1729.23</v>
      </c>
      <c r="AA114" s="69">
        <f t="shared" si="172"/>
        <v>0.28066446462162853</v>
      </c>
      <c r="AB114" s="69">
        <f t="shared" si="173"/>
        <v>-6.9090263085644033E-2</v>
      </c>
      <c r="AC114" s="75"/>
    </row>
    <row r="115" spans="1:31" x14ac:dyDescent="0.35">
      <c r="A115" s="1" t="s">
        <v>11</v>
      </c>
      <c r="B115" s="26">
        <v>587.99</v>
      </c>
      <c r="C115" s="26">
        <v>2455.0100000000002</v>
      </c>
      <c r="D115" s="26">
        <v>5867.63</v>
      </c>
      <c r="E115" s="26">
        <v>6543.66</v>
      </c>
      <c r="F115" s="26">
        <v>10966.87</v>
      </c>
      <c r="G115" s="26">
        <v>11942.85</v>
      </c>
      <c r="H115" s="26">
        <f t="shared" si="174"/>
        <v>9129.86</v>
      </c>
      <c r="I115" s="30">
        <f t="shared" si="169"/>
        <v>-0.23553758106314659</v>
      </c>
      <c r="M115" s="26">
        <v>7230.44</v>
      </c>
      <c r="N115" s="26">
        <v>6934.53</v>
      </c>
      <c r="O115" s="26">
        <v>9130.34</v>
      </c>
      <c r="P115" s="26">
        <f>F115</f>
        <v>10966.87</v>
      </c>
      <c r="Q115" s="26">
        <v>10341.69</v>
      </c>
      <c r="R115" s="26">
        <v>9718.5499999999993</v>
      </c>
      <c r="S115" s="26">
        <v>9098.09</v>
      </c>
      <c r="T115" s="26">
        <f>G115</f>
        <v>11942.85</v>
      </c>
      <c r="U115" s="26">
        <v>11886.89</v>
      </c>
      <c r="V115" s="26">
        <v>11209.83</v>
      </c>
      <c r="W115" s="26">
        <v>9912.86</v>
      </c>
      <c r="X115" s="26">
        <v>9129.86</v>
      </c>
      <c r="Y115" s="26">
        <v>14775.56</v>
      </c>
      <c r="Z115" s="26">
        <v>15811.330000000002</v>
      </c>
      <c r="AA115" s="69">
        <f t="shared" si="172"/>
        <v>0.41048793781886084</v>
      </c>
      <c r="AB115" s="69">
        <f t="shared" si="173"/>
        <v>7.010021955174639E-2</v>
      </c>
      <c r="AC115" s="75"/>
    </row>
    <row r="116" spans="1:31" x14ac:dyDescent="0.35">
      <c r="A116" s="1" t="s">
        <v>12</v>
      </c>
      <c r="B116" s="26">
        <v>0</v>
      </c>
      <c r="C116" s="26">
        <v>0</v>
      </c>
      <c r="D116" s="26">
        <v>0</v>
      </c>
      <c r="E116" s="26">
        <v>0</v>
      </c>
      <c r="F116" s="26">
        <v>2395.86</v>
      </c>
      <c r="G116" s="26">
        <v>1687.82</v>
      </c>
      <c r="H116" s="26">
        <f t="shared" si="174"/>
        <v>3469.49</v>
      </c>
      <c r="I116" s="30">
        <f t="shared" si="169"/>
        <v>1.0556042705975757</v>
      </c>
      <c r="M116" s="26">
        <v>1895.15</v>
      </c>
      <c r="N116" s="26">
        <v>2394.58</v>
      </c>
      <c r="O116" s="26">
        <v>2395.2199999999998</v>
      </c>
      <c r="P116" s="26">
        <f>F116</f>
        <v>2395.86</v>
      </c>
      <c r="Q116" s="26">
        <v>2396.5</v>
      </c>
      <c r="R116" s="26">
        <v>2397.21</v>
      </c>
      <c r="S116" s="26">
        <v>2187.7199999999998</v>
      </c>
      <c r="T116" s="26">
        <f>G116</f>
        <v>1687.82</v>
      </c>
      <c r="U116" s="26">
        <v>1688.23</v>
      </c>
      <c r="V116" s="26">
        <v>1688.67</v>
      </c>
      <c r="W116" s="26">
        <v>3467.79</v>
      </c>
      <c r="X116" s="26">
        <v>3469.49</v>
      </c>
      <c r="Y116" s="26">
        <v>2771.09</v>
      </c>
      <c r="Z116" s="26">
        <v>2772.47</v>
      </c>
      <c r="AA116" s="69">
        <f t="shared" si="172"/>
        <v>0.64180686575825918</v>
      </c>
      <c r="AB116" s="69">
        <f t="shared" si="173"/>
        <v>4.9799898234970108E-4</v>
      </c>
      <c r="AC116" s="75"/>
    </row>
    <row r="117" spans="1:31" x14ac:dyDescent="0.35">
      <c r="A117" s="2" t="s">
        <v>228</v>
      </c>
      <c r="B117" s="4">
        <f t="shared" ref="B117:H117" si="175">B4</f>
        <v>542.41999999999996</v>
      </c>
      <c r="C117" s="4">
        <f t="shared" si="175"/>
        <v>374.62</v>
      </c>
      <c r="D117" s="4">
        <f t="shared" si="175"/>
        <v>2920.65</v>
      </c>
      <c r="E117" s="4">
        <f t="shared" si="175"/>
        <v>5760.9</v>
      </c>
      <c r="F117" s="4">
        <f t="shared" si="175"/>
        <v>7655.86</v>
      </c>
      <c r="G117" s="4">
        <f t="shared" si="175"/>
        <v>10251.59</v>
      </c>
      <c r="H117" s="4">
        <f t="shared" si="175"/>
        <v>11420.98</v>
      </c>
      <c r="I117" s="30">
        <f t="shared" si="169"/>
        <v>0.11406913464155322</v>
      </c>
      <c r="M117" s="4">
        <f t="shared" ref="M117:Y117" si="176">M4</f>
        <v>7501.27</v>
      </c>
      <c r="N117" s="4">
        <f t="shared" si="176"/>
        <v>7175.2</v>
      </c>
      <c r="O117" s="4">
        <f t="shared" si="176"/>
        <v>6882.5057435312592</v>
      </c>
      <c r="P117" s="4">
        <f t="shared" si="176"/>
        <v>7655.86</v>
      </c>
      <c r="Q117" s="4">
        <f t="shared" si="176"/>
        <v>8487.92</v>
      </c>
      <c r="R117" s="4">
        <f t="shared" si="176"/>
        <v>9285.1</v>
      </c>
      <c r="S117" s="4">
        <f t="shared" si="176"/>
        <v>9914.15</v>
      </c>
      <c r="T117" s="4">
        <f t="shared" si="176"/>
        <v>10251.59</v>
      </c>
      <c r="U117" s="4">
        <f t="shared" si="176"/>
        <v>10584.06</v>
      </c>
      <c r="V117" s="4">
        <f t="shared" si="176"/>
        <v>10740.71</v>
      </c>
      <c r="W117" s="4">
        <f t="shared" si="176"/>
        <v>10995.27</v>
      </c>
      <c r="X117" s="4">
        <f t="shared" si="176"/>
        <v>11420.98</v>
      </c>
      <c r="Y117" s="4">
        <f t="shared" si="176"/>
        <v>11951.71</v>
      </c>
      <c r="Z117" s="4">
        <f t="shared" ref="Z117" si="177">Z4</f>
        <v>12774.5</v>
      </c>
      <c r="AA117" s="71">
        <f t="shared" si="172"/>
        <v>0.18935340401146683</v>
      </c>
      <c r="AB117" s="71">
        <f t="shared" si="173"/>
        <v>6.8842868510029076E-2</v>
      </c>
      <c r="AC117" s="75"/>
    </row>
    <row r="118" spans="1:31" x14ac:dyDescent="0.35">
      <c r="A118" s="1" t="s">
        <v>150</v>
      </c>
      <c r="B118" s="3">
        <f t="shared" ref="B118:G118" si="178">B111+B117</f>
        <v>7172.869999999999</v>
      </c>
      <c r="C118" s="3">
        <f t="shared" si="178"/>
        <v>10573.380000000001</v>
      </c>
      <c r="D118" s="3">
        <f t="shared" si="178"/>
        <v>22177.06</v>
      </c>
      <c r="E118" s="3">
        <f t="shared" si="178"/>
        <v>30698.949999999997</v>
      </c>
      <c r="F118" s="3">
        <f t="shared" si="178"/>
        <v>38192.75</v>
      </c>
      <c r="G118" s="3">
        <f t="shared" si="178"/>
        <v>44919.259999999995</v>
      </c>
      <c r="H118" s="3">
        <f t="shared" ref="H118" si="179">H111+H117</f>
        <v>59555.709999999992</v>
      </c>
      <c r="I118" s="30">
        <f t="shared" si="169"/>
        <v>0.32583907214856156</v>
      </c>
      <c r="M118" s="3">
        <f t="shared" ref="M118:T118" si="180">M111+M117</f>
        <v>34042.03</v>
      </c>
      <c r="N118" s="3">
        <f t="shared" si="180"/>
        <v>33540.979999999996</v>
      </c>
      <c r="O118" s="3">
        <f t="shared" si="180"/>
        <v>35276.015743531258</v>
      </c>
      <c r="P118" s="3">
        <f t="shared" si="180"/>
        <v>38192.75</v>
      </c>
      <c r="Q118" s="3">
        <f t="shared" si="180"/>
        <v>39322.43</v>
      </c>
      <c r="R118" s="3">
        <f t="shared" si="180"/>
        <v>40038.720000000001</v>
      </c>
      <c r="S118" s="3">
        <f>S111+S117</f>
        <v>40149.960000000006</v>
      </c>
      <c r="T118" s="3">
        <f t="shared" si="180"/>
        <v>44919.259999999995</v>
      </c>
      <c r="U118" s="3">
        <f t="shared" ref="U118:V118" si="181">U111+U117</f>
        <v>48387.38</v>
      </c>
      <c r="V118" s="3">
        <f t="shared" si="181"/>
        <v>52281.389999999992</v>
      </c>
      <c r="W118" s="3">
        <f>W111+W117</f>
        <v>58009.149999999994</v>
      </c>
      <c r="X118" s="3">
        <f>X111+X117</f>
        <v>59555.709999999992</v>
      </c>
      <c r="Y118" s="3">
        <f>Y111+Y117</f>
        <v>68215.37</v>
      </c>
      <c r="Z118" s="3">
        <f>Z111+Z117</f>
        <v>72792.100000000006</v>
      </c>
      <c r="AA118" s="69">
        <f t="shared" si="172"/>
        <v>0.39231378507725245</v>
      </c>
      <c r="AB118" s="69">
        <f t="shared" si="173"/>
        <v>6.7092357631425514E-2</v>
      </c>
      <c r="AC118" s="75"/>
    </row>
    <row r="120" spans="1:31" x14ac:dyDescent="0.35">
      <c r="A120" s="2" t="s">
        <v>151</v>
      </c>
    </row>
    <row r="121" spans="1:31" x14ac:dyDescent="0.35">
      <c r="A121" s="1" t="s">
        <v>8</v>
      </c>
      <c r="B121" s="16">
        <f t="shared" ref="B121:B126" si="182">IFERROR(B112/B$118,"")</f>
        <v>5.2347247336143002E-2</v>
      </c>
      <c r="C121" s="16">
        <f t="shared" ref="C121:F126" si="183">IFERROR(C112/C$118,"")</f>
        <v>0.20286133667758083</v>
      </c>
      <c r="D121" s="16">
        <f t="shared" si="183"/>
        <v>0.20052432558689023</v>
      </c>
      <c r="E121" s="16">
        <f t="shared" si="183"/>
        <v>0.24548722350438698</v>
      </c>
      <c r="F121" s="16">
        <f t="shared" si="183"/>
        <v>0.193187974157399</v>
      </c>
      <c r="G121" s="90">
        <f t="shared" ref="G121:H126" si="184">IFERROR(G112/G$118,"")</f>
        <v>0.22904807425589827</v>
      </c>
      <c r="H121" s="90">
        <f t="shared" si="184"/>
        <v>0.31493974297342775</v>
      </c>
      <c r="I121" s="16"/>
      <c r="M121" s="16">
        <f t="shared" ref="M121:Q126" si="185">M112/M$118</f>
        <v>0.2080669102283266</v>
      </c>
      <c r="N121" s="16">
        <f t="shared" si="185"/>
        <v>0.22416697425060331</v>
      </c>
      <c r="O121" s="16">
        <f t="shared" ref="O121:O126" si="186">O112/O$118</f>
        <v>0.19025986519553989</v>
      </c>
      <c r="P121" s="16">
        <f t="shared" si="185"/>
        <v>0.193187974157399</v>
      </c>
      <c r="Q121" s="16">
        <f t="shared" si="185"/>
        <v>0.20738087651246376</v>
      </c>
      <c r="R121" s="16">
        <f t="shared" ref="R121:T126" si="187">R112/R$118</f>
        <v>0.20810205720862204</v>
      </c>
      <c r="S121" s="16">
        <f t="shared" ref="S121:S126" si="188">S112/S$118</f>
        <v>0.19967460230568446</v>
      </c>
      <c r="T121" s="16">
        <f t="shared" si="187"/>
        <v>0.22904807425589827</v>
      </c>
      <c r="U121" s="16">
        <f t="shared" ref="U121:V121" si="189">U112/U$118</f>
        <v>0.24832445980749529</v>
      </c>
      <c r="V121" s="16">
        <f t="shared" si="189"/>
        <v>0.31949074039538738</v>
      </c>
      <c r="W121" s="16">
        <f t="shared" ref="W121:X121" si="190">W112/W$118</f>
        <v>0.31808154403227767</v>
      </c>
      <c r="X121" s="16">
        <f t="shared" si="190"/>
        <v>0.31493974297342775</v>
      </c>
      <c r="Y121" s="16">
        <f t="shared" ref="Y121:Z121" si="191">Y112/Y$118</f>
        <v>0.32139516358263548</v>
      </c>
      <c r="Z121" s="16">
        <f t="shared" si="191"/>
        <v>0.3345398745193503</v>
      </c>
    </row>
    <row r="122" spans="1:31" x14ac:dyDescent="0.35">
      <c r="A122" s="1" t="s">
        <v>9</v>
      </c>
      <c r="B122" s="16">
        <f t="shared" si="182"/>
        <v>0.79005753624420916</v>
      </c>
      <c r="C122" s="16">
        <f t="shared" si="183"/>
        <v>0.52952036151164517</v>
      </c>
      <c r="D122" s="16">
        <f t="shared" si="183"/>
        <v>0.40319771872376226</v>
      </c>
      <c r="E122" s="16">
        <f t="shared" si="183"/>
        <v>0.33410816982339792</v>
      </c>
      <c r="F122" s="16">
        <f t="shared" si="183"/>
        <v>0.24528241616537172</v>
      </c>
      <c r="G122" s="90">
        <f t="shared" si="184"/>
        <v>0.22173272667448218</v>
      </c>
      <c r="H122" s="90">
        <f t="shared" si="184"/>
        <v>0.26279226626632446</v>
      </c>
      <c r="I122" s="16"/>
      <c r="M122" s="16">
        <f t="shared" si="185"/>
        <v>0.28704898033401649</v>
      </c>
      <c r="N122" s="16">
        <f t="shared" si="185"/>
        <v>0.26842507285118089</v>
      </c>
      <c r="O122" s="16">
        <f t="shared" si="186"/>
        <v>0.27450435645572291</v>
      </c>
      <c r="P122" s="16">
        <f t="shared" si="185"/>
        <v>0.24528241616537172</v>
      </c>
      <c r="Q122" s="16">
        <f t="shared" si="185"/>
        <v>0.24302109508491718</v>
      </c>
      <c r="R122" s="16">
        <f t="shared" si="187"/>
        <v>0.23647659066024088</v>
      </c>
      <c r="S122" s="16">
        <f t="shared" si="188"/>
        <v>0.25075947035590723</v>
      </c>
      <c r="T122" s="16">
        <f t="shared" si="187"/>
        <v>0.22173272667448218</v>
      </c>
      <c r="U122" s="16">
        <f t="shared" ref="U122:V122" si="192">U113/U$118</f>
        <v>0.22207464012310651</v>
      </c>
      <c r="V122" s="16">
        <f t="shared" si="192"/>
        <v>0.20252904523005225</v>
      </c>
      <c r="W122" s="16">
        <f t="shared" ref="W122:X122" si="193">W113/W$118</f>
        <v>0.24034742794886671</v>
      </c>
      <c r="X122" s="16">
        <f t="shared" si="193"/>
        <v>0.26279226626632446</v>
      </c>
      <c r="Y122" s="16">
        <f t="shared" ref="Y122:Z122" si="194">Y113/Y$118</f>
        <v>0.21894405908814979</v>
      </c>
      <c r="Z122" s="16">
        <f t="shared" si="194"/>
        <v>0.21091176102901274</v>
      </c>
    </row>
    <row r="123" spans="1:31" x14ac:dyDescent="0.35">
      <c r="A123" s="1" t="s">
        <v>10</v>
      </c>
      <c r="B123" s="16" t="str">
        <f t="shared" si="182"/>
        <v/>
      </c>
      <c r="C123" s="16" t="str">
        <f t="shared" si="183"/>
        <v/>
      </c>
      <c r="D123" s="16" t="str">
        <f t="shared" si="183"/>
        <v/>
      </c>
      <c r="E123" s="16">
        <f t="shared" si="183"/>
        <v>1.9590898060031371E-2</v>
      </c>
      <c r="F123" s="16">
        <f t="shared" si="183"/>
        <v>1.1200293249373244E-2</v>
      </c>
      <c r="G123" s="90">
        <f t="shared" si="184"/>
        <v>1.754837457251077E-2</v>
      </c>
      <c r="H123" s="90">
        <f t="shared" si="184"/>
        <v>1.8942600130197426E-2</v>
      </c>
      <c r="I123" s="16"/>
      <c r="M123" s="16">
        <f t="shared" si="185"/>
        <v>1.646259050943789E-2</v>
      </c>
      <c r="N123" s="16">
        <f t="shared" si="185"/>
        <v>1.5343916605895238E-2</v>
      </c>
      <c r="O123" s="16">
        <f t="shared" si="186"/>
        <v>1.3406275908206037E-2</v>
      </c>
      <c r="P123" s="16">
        <f t="shared" si="185"/>
        <v>1.1200293249373244E-2</v>
      </c>
      <c r="Q123" s="16">
        <f t="shared" si="185"/>
        <v>9.8015305768234563E-3</v>
      </c>
      <c r="R123" s="16">
        <f t="shared" si="187"/>
        <v>2.091725209996723E-2</v>
      </c>
      <c r="S123" s="16">
        <f t="shared" si="188"/>
        <v>2.1546472275439373E-2</v>
      </c>
      <c r="T123" s="16">
        <f t="shared" si="187"/>
        <v>1.754837457251077E-2</v>
      </c>
      <c r="U123" s="16">
        <f t="shared" ref="U123:V123" si="195">U114/U$118</f>
        <v>3.0314102561453008E-2</v>
      </c>
      <c r="V123" s="16">
        <f t="shared" si="195"/>
        <v>2.5826780810533159E-2</v>
      </c>
      <c r="W123" s="16">
        <f t="shared" ref="W123:X123" si="196">W114/W$118</f>
        <v>2.136283672489599E-2</v>
      </c>
      <c r="X123" s="16">
        <f t="shared" si="196"/>
        <v>1.8942600130197426E-2</v>
      </c>
      <c r="Y123" s="16">
        <f t="shared" ref="Y123:Z123" si="197">Y114/Y$118</f>
        <v>2.7230959826209253E-2</v>
      </c>
      <c r="Z123" s="16">
        <f t="shared" si="197"/>
        <v>2.3755737229726851E-2</v>
      </c>
    </row>
    <row r="124" spans="1:31" x14ac:dyDescent="0.35">
      <c r="A124" s="1" t="s">
        <v>11</v>
      </c>
      <c r="B124" s="16">
        <f t="shared" si="182"/>
        <v>8.1974160970434445E-2</v>
      </c>
      <c r="C124" s="16">
        <f t="shared" si="183"/>
        <v>0.23218781506008485</v>
      </c>
      <c r="D124" s="16">
        <f t="shared" si="183"/>
        <v>0.26458105808434479</v>
      </c>
      <c r="E124" s="16">
        <f t="shared" si="183"/>
        <v>0.21315582454774512</v>
      </c>
      <c r="F124" s="16">
        <f t="shared" si="183"/>
        <v>0.28714533517486962</v>
      </c>
      <c r="G124" s="90">
        <f t="shared" si="184"/>
        <v>0.26587370317320458</v>
      </c>
      <c r="H124" s="90">
        <f t="shared" si="184"/>
        <v>0.15329949051064964</v>
      </c>
      <c r="I124" s="16"/>
      <c r="M124" s="16">
        <f t="shared" si="185"/>
        <v>0.21239743928314497</v>
      </c>
      <c r="N124" s="16">
        <f t="shared" si="185"/>
        <v>0.2067479841077989</v>
      </c>
      <c r="O124" s="16">
        <f t="shared" si="186"/>
        <v>0.25882571508020369</v>
      </c>
      <c r="P124" s="16">
        <f t="shared" si="185"/>
        <v>0.28714533517486962</v>
      </c>
      <c r="Q124" s="16">
        <f t="shared" si="185"/>
        <v>0.262997225756394</v>
      </c>
      <c r="R124" s="16">
        <f t="shared" si="187"/>
        <v>0.24272878853270033</v>
      </c>
      <c r="S124" s="16">
        <f t="shared" si="188"/>
        <v>0.22660271641615579</v>
      </c>
      <c r="T124" s="16">
        <f t="shared" si="187"/>
        <v>0.26587370317320458</v>
      </c>
      <c r="U124" s="16">
        <f t="shared" ref="U124:V124" si="198">U115/U$118</f>
        <v>0.24566095539787441</v>
      </c>
      <c r="V124" s="16">
        <f t="shared" si="198"/>
        <v>0.2144133887794491</v>
      </c>
      <c r="W124" s="16">
        <f t="shared" ref="W124:X124" si="199">W115/W$118</f>
        <v>0.17088442081981897</v>
      </c>
      <c r="X124" s="16">
        <f t="shared" si="199"/>
        <v>0.15329949051064964</v>
      </c>
      <c r="Y124" s="16">
        <f t="shared" ref="Y124:Z124" si="200">Y115/Y$118</f>
        <v>0.21660162511762379</v>
      </c>
      <c r="Z124" s="16">
        <f t="shared" si="200"/>
        <v>0.21721217000196449</v>
      </c>
    </row>
    <row r="125" spans="1:31" x14ac:dyDescent="0.35">
      <c r="A125" s="1" t="s">
        <v>12</v>
      </c>
      <c r="B125" s="16">
        <f t="shared" si="182"/>
        <v>0</v>
      </c>
      <c r="C125" s="16">
        <f t="shared" si="183"/>
        <v>0</v>
      </c>
      <c r="D125" s="16">
        <f t="shared" si="183"/>
        <v>0</v>
      </c>
      <c r="E125" s="16">
        <f t="shared" si="183"/>
        <v>0</v>
      </c>
      <c r="F125" s="16">
        <f t="shared" si="183"/>
        <v>6.2730753873444567E-2</v>
      </c>
      <c r="G125" s="90">
        <f t="shared" si="184"/>
        <v>3.7574528164533431E-2</v>
      </c>
      <c r="H125" s="90">
        <f t="shared" si="184"/>
        <v>5.8256210865423319E-2</v>
      </c>
      <c r="I125" s="16"/>
      <c r="M125" s="16">
        <f t="shared" si="185"/>
        <v>5.5670886841942158E-2</v>
      </c>
      <c r="N125" s="16">
        <f t="shared" si="185"/>
        <v>7.1392666523160633E-2</v>
      </c>
      <c r="O125" s="16">
        <f t="shared" si="186"/>
        <v>6.7899391399926554E-2</v>
      </c>
      <c r="P125" s="16">
        <f t="shared" si="185"/>
        <v>6.2730753873444567E-2</v>
      </c>
      <c r="Q125" s="16">
        <f t="shared" si="185"/>
        <v>6.0944860223541626E-2</v>
      </c>
      <c r="R125" s="16">
        <f t="shared" si="187"/>
        <v>5.9872293619776057E-2</v>
      </c>
      <c r="S125" s="16">
        <f t="shared" si="188"/>
        <v>5.4488721782039125E-2</v>
      </c>
      <c r="T125" s="16">
        <f t="shared" si="187"/>
        <v>3.7574528164533431E-2</v>
      </c>
      <c r="U125" s="16">
        <f t="shared" ref="U125:V125" si="201">U116/U$118</f>
        <v>3.4889882444554758E-2</v>
      </c>
      <c r="V125" s="16">
        <f t="shared" si="201"/>
        <v>3.2299638552073698E-2</v>
      </c>
      <c r="W125" s="16">
        <f t="shared" ref="W125:X125" si="202">W116/W$118</f>
        <v>5.9780051940081874E-2</v>
      </c>
      <c r="X125" s="16">
        <f t="shared" si="202"/>
        <v>5.8256210865423319E-2</v>
      </c>
      <c r="Y125" s="16">
        <f t="shared" ref="Y125:Z125" si="203">Y116/Y$118</f>
        <v>4.0622663191594507E-2</v>
      </c>
      <c r="Z125" s="16">
        <f t="shared" si="203"/>
        <v>3.80875122437737E-2</v>
      </c>
    </row>
    <row r="126" spans="1:31" x14ac:dyDescent="0.35">
      <c r="A126" s="1" t="s">
        <v>243</v>
      </c>
      <c r="B126" s="16">
        <f t="shared" si="182"/>
        <v>7.5621055449213506E-2</v>
      </c>
      <c r="C126" s="16">
        <f t="shared" si="183"/>
        <v>3.5430486750688994E-2</v>
      </c>
      <c r="D126" s="16">
        <f t="shared" si="183"/>
        <v>0.13169689760500264</v>
      </c>
      <c r="E126" s="16">
        <f t="shared" si="183"/>
        <v>0.1876578840644387</v>
      </c>
      <c r="F126" s="16">
        <f t="shared" si="183"/>
        <v>0.20045322737954191</v>
      </c>
      <c r="G126" s="90">
        <f t="shared" si="184"/>
        <v>0.22822259315937088</v>
      </c>
      <c r="H126" s="90">
        <f t="shared" si="184"/>
        <v>0.19176968925397753</v>
      </c>
      <c r="I126" s="16"/>
      <c r="M126" s="16">
        <f t="shared" si="185"/>
        <v>0.22035319280313193</v>
      </c>
      <c r="N126" s="16">
        <f t="shared" si="185"/>
        <v>0.21392338566136113</v>
      </c>
      <c r="O126" s="16">
        <f t="shared" si="186"/>
        <v>0.19510439596040091</v>
      </c>
      <c r="P126" s="16">
        <f t="shared" si="185"/>
        <v>0.20045322737954191</v>
      </c>
      <c r="Q126" s="16">
        <f t="shared" si="185"/>
        <v>0.21585441184585999</v>
      </c>
      <c r="R126" s="16">
        <f t="shared" si="187"/>
        <v>0.23190301787869344</v>
      </c>
      <c r="S126" s="16">
        <f t="shared" si="188"/>
        <v>0.24692801686477392</v>
      </c>
      <c r="T126" s="16">
        <f t="shared" si="187"/>
        <v>0.22822259315937088</v>
      </c>
      <c r="U126" s="16">
        <f t="shared" ref="U126:V126" si="204">U117/U$118</f>
        <v>0.21873595966551609</v>
      </c>
      <c r="V126" s="16">
        <f t="shared" si="204"/>
        <v>0.20544040623250454</v>
      </c>
      <c r="W126" s="16">
        <f t="shared" ref="W126:X126" si="205">W117/W$118</f>
        <v>0.18954371853405888</v>
      </c>
      <c r="X126" s="16">
        <f t="shared" si="205"/>
        <v>0.19176968925397753</v>
      </c>
      <c r="Y126" s="16">
        <f t="shared" ref="Y126:Z126" si="206">Y117/Y$118</f>
        <v>0.17520552919378726</v>
      </c>
      <c r="Z126" s="16">
        <f t="shared" si="206"/>
        <v>0.17549294497617185</v>
      </c>
    </row>
    <row r="128" spans="1:31" s="5" customFormat="1" x14ac:dyDescent="0.35">
      <c r="A128" s="5" t="s">
        <v>141</v>
      </c>
      <c r="B128" s="22" t="str">
        <f t="shared" ref="B128:H128" si="207">B$1</f>
        <v>FY17</v>
      </c>
      <c r="C128" s="22" t="str">
        <f t="shared" si="207"/>
        <v>FY18</v>
      </c>
      <c r="D128" s="22" t="str">
        <f t="shared" si="207"/>
        <v>FY19</v>
      </c>
      <c r="E128" s="22" t="str">
        <f t="shared" si="207"/>
        <v>FY20</v>
      </c>
      <c r="F128" s="22" t="str">
        <f t="shared" si="207"/>
        <v>FY21</v>
      </c>
      <c r="G128" s="22" t="str">
        <f t="shared" si="207"/>
        <v>FY22</v>
      </c>
      <c r="H128" s="22" t="str">
        <f t="shared" si="207"/>
        <v>FY23</v>
      </c>
      <c r="I128" s="22" t="str">
        <f>I$1</f>
        <v>Yoy%</v>
      </c>
      <c r="M128" s="6" t="str">
        <f t="shared" ref="M128:Z128" si="208">M$1</f>
        <v>Q1FY21</v>
      </c>
      <c r="N128" s="6" t="str">
        <f t="shared" si="208"/>
        <v>Q2FY21</v>
      </c>
      <c r="O128" s="80" t="str">
        <f t="shared" si="208"/>
        <v>Q3FY21</v>
      </c>
      <c r="P128" s="6" t="str">
        <f t="shared" si="208"/>
        <v>Q4FY21</v>
      </c>
      <c r="Q128" s="6" t="str">
        <f t="shared" si="208"/>
        <v>Q1FY22</v>
      </c>
      <c r="R128" s="80" t="str">
        <f t="shared" si="208"/>
        <v>Q2FY22</v>
      </c>
      <c r="S128" s="80" t="str">
        <f t="shared" si="208"/>
        <v>Q3FY22</v>
      </c>
      <c r="T128" s="80" t="str">
        <f t="shared" si="208"/>
        <v>Q4FY22</v>
      </c>
      <c r="U128" s="80" t="str">
        <f t="shared" si="208"/>
        <v>Q1FY23</v>
      </c>
      <c r="V128" s="80" t="str">
        <f t="shared" si="208"/>
        <v>Q2FY23</v>
      </c>
      <c r="W128" s="80" t="str">
        <f t="shared" si="208"/>
        <v>Q3FY23</v>
      </c>
      <c r="X128" s="80" t="str">
        <f t="shared" si="208"/>
        <v>Q4FY23</v>
      </c>
      <c r="Y128" s="80" t="str">
        <f t="shared" si="208"/>
        <v>Q1FY24</v>
      </c>
      <c r="Z128" s="80" t="str">
        <f t="shared" si="208"/>
        <v>Q2FY24</v>
      </c>
      <c r="AA128" s="6"/>
      <c r="AB128" s="6"/>
      <c r="AC128" s="6"/>
    </row>
    <row r="129" spans="1:29" x14ac:dyDescent="0.35">
      <c r="A129" s="1" t="s">
        <v>114</v>
      </c>
      <c r="B129" s="11">
        <f t="shared" ref="B129:G129" si="209">SUM(B130:B131)</f>
        <v>0.68520000000000003</v>
      </c>
      <c r="C129" s="11">
        <f t="shared" si="209"/>
        <v>0.43019999999999997</v>
      </c>
      <c r="D129" s="11">
        <f t="shared" si="209"/>
        <v>0.38479999999999998</v>
      </c>
      <c r="E129" s="11">
        <f t="shared" si="209"/>
        <v>0.48970000000000002</v>
      </c>
      <c r="F129" s="11">
        <f t="shared" si="209"/>
        <v>0.56190000000000007</v>
      </c>
      <c r="G129" s="11">
        <f t="shared" si="209"/>
        <v>0.58610000000000007</v>
      </c>
      <c r="H129" s="11">
        <f>SUM(H130:H131)</f>
        <v>0.49380000000000002</v>
      </c>
      <c r="I129" s="11"/>
      <c r="M129" s="11">
        <f>M130+M131</f>
        <v>0.46929999999999999</v>
      </c>
      <c r="N129" s="11">
        <f>N130+N131</f>
        <v>0.51690000000000003</v>
      </c>
      <c r="O129" s="11">
        <f>O130+O131</f>
        <v>0.52310000000000001</v>
      </c>
      <c r="P129" s="11">
        <f>F129</f>
        <v>0.56190000000000007</v>
      </c>
      <c r="Q129" s="11">
        <f t="shared" ref="Q129:V129" si="210">Q130+Q131</f>
        <v>0.56369999999999998</v>
      </c>
      <c r="R129" s="11">
        <f t="shared" si="210"/>
        <v>0.5636000000000001</v>
      </c>
      <c r="S129" s="11">
        <f t="shared" si="210"/>
        <v>0.58979999999999999</v>
      </c>
      <c r="T129" s="11">
        <f t="shared" si="210"/>
        <v>0.58610000000000007</v>
      </c>
      <c r="U129" s="11">
        <f t="shared" si="210"/>
        <v>0.52310000000000001</v>
      </c>
      <c r="V129" s="11">
        <f t="shared" si="210"/>
        <v>0.50700000000000001</v>
      </c>
      <c r="W129" s="11">
        <f>W130+W131</f>
        <v>0.49630000000000002</v>
      </c>
      <c r="X129" s="11">
        <f>X130+X131</f>
        <v>0.49380000000000002</v>
      </c>
      <c r="Y129" s="11">
        <f>Y130+Y131</f>
        <v>0.45989999999999998</v>
      </c>
      <c r="Z129" s="11">
        <f>Z130+Z131</f>
        <v>0.45489999999999997</v>
      </c>
    </row>
    <row r="130" spans="1:29" x14ac:dyDescent="0.35">
      <c r="A130" s="1" t="s">
        <v>115</v>
      </c>
      <c r="B130" s="30">
        <v>0.67490000000000006</v>
      </c>
      <c r="C130" s="30">
        <v>0.42249999999999999</v>
      </c>
      <c r="D130" s="30">
        <v>0.37709999999999999</v>
      </c>
      <c r="E130" s="30">
        <v>0.47720000000000001</v>
      </c>
      <c r="F130" s="30">
        <v>0.55230000000000001</v>
      </c>
      <c r="G130" s="38">
        <v>0.58050000000000002</v>
      </c>
      <c r="H130" s="38">
        <f>X130</f>
        <v>0.4889</v>
      </c>
      <c r="I130" s="30"/>
      <c r="M130" s="30">
        <v>0.45639999999999997</v>
      </c>
      <c r="N130" s="30">
        <v>0.504</v>
      </c>
      <c r="O130" s="30">
        <v>0.51019999999999999</v>
      </c>
      <c r="P130" s="30">
        <f>F130</f>
        <v>0.55230000000000001</v>
      </c>
      <c r="Q130" s="38">
        <v>0.55230000000000001</v>
      </c>
      <c r="R130" s="38">
        <v>0.55200000000000005</v>
      </c>
      <c r="S130" s="38">
        <v>0.57830000000000004</v>
      </c>
      <c r="T130" s="38">
        <f>G130</f>
        <v>0.58050000000000002</v>
      </c>
      <c r="U130" s="38">
        <v>0.51790000000000003</v>
      </c>
      <c r="V130" s="38">
        <v>0.502</v>
      </c>
      <c r="W130" s="38">
        <v>0.4914</v>
      </c>
      <c r="X130" s="38">
        <v>0.4889</v>
      </c>
      <c r="Y130" s="38">
        <v>0.45519999999999999</v>
      </c>
      <c r="Z130" s="38">
        <v>0.45019999999999999</v>
      </c>
    </row>
    <row r="131" spans="1:29" x14ac:dyDescent="0.35">
      <c r="A131" s="1" t="s">
        <v>116</v>
      </c>
      <c r="B131" s="30">
        <v>1.03E-2</v>
      </c>
      <c r="C131" s="30">
        <v>7.7000000000000002E-3</v>
      </c>
      <c r="D131" s="30">
        <v>7.7000000000000002E-3</v>
      </c>
      <c r="E131" s="30">
        <v>1.2500000000000001E-2</v>
      </c>
      <c r="F131" s="30">
        <v>9.5999999999999992E-3</v>
      </c>
      <c r="G131" s="38">
        <v>5.5999999999999999E-3</v>
      </c>
      <c r="H131" s="38">
        <f>X131</f>
        <v>4.8999999999999998E-3</v>
      </c>
      <c r="I131" s="30"/>
      <c r="M131" s="30">
        <v>1.29E-2</v>
      </c>
      <c r="N131" s="30">
        <v>1.29E-2</v>
      </c>
      <c r="O131" s="30">
        <v>1.29E-2</v>
      </c>
      <c r="P131" s="30">
        <f>F131</f>
        <v>9.5999999999999992E-3</v>
      </c>
      <c r="Q131" s="38">
        <v>1.14E-2</v>
      </c>
      <c r="R131" s="38">
        <v>1.1599999999999999E-2</v>
      </c>
      <c r="S131" s="38">
        <v>1.15E-2</v>
      </c>
      <c r="T131" s="38">
        <f>G131</f>
        <v>5.5999999999999999E-3</v>
      </c>
      <c r="U131" s="38">
        <v>5.1999999999999998E-3</v>
      </c>
      <c r="V131" s="38">
        <v>5.0000000000000001E-3</v>
      </c>
      <c r="W131" s="38">
        <v>4.8999999999999998E-3</v>
      </c>
      <c r="X131" s="38">
        <v>4.8999999999999998E-3</v>
      </c>
      <c r="Y131" s="38">
        <v>4.7000000000000002E-3</v>
      </c>
      <c r="Z131" s="38">
        <v>4.7000000000000002E-3</v>
      </c>
    </row>
    <row r="133" spans="1:29" s="5" customFormat="1" x14ac:dyDescent="0.35">
      <c r="A133" s="5" t="s">
        <v>125</v>
      </c>
      <c r="B133" s="22" t="str">
        <f t="shared" ref="B133:H133" si="211">B$1</f>
        <v>FY17</v>
      </c>
      <c r="C133" s="22" t="str">
        <f t="shared" si="211"/>
        <v>FY18</v>
      </c>
      <c r="D133" s="22" t="str">
        <f t="shared" si="211"/>
        <v>FY19</v>
      </c>
      <c r="E133" s="22" t="str">
        <f t="shared" si="211"/>
        <v>FY20</v>
      </c>
      <c r="F133" s="22" t="str">
        <f t="shared" si="211"/>
        <v>FY21</v>
      </c>
      <c r="G133" s="22" t="str">
        <f t="shared" si="211"/>
        <v>FY22</v>
      </c>
      <c r="H133" s="22" t="str">
        <f t="shared" si="211"/>
        <v>FY23</v>
      </c>
      <c r="I133" s="22" t="str">
        <f>I$1</f>
        <v>Yoy%</v>
      </c>
      <c r="M133" s="6" t="str">
        <f t="shared" ref="M133:AB133" si="212">M$1</f>
        <v>Q1FY21</v>
      </c>
      <c r="N133" s="6" t="str">
        <f t="shared" si="212"/>
        <v>Q2FY21</v>
      </c>
      <c r="O133" s="80" t="str">
        <f t="shared" si="212"/>
        <v>Q3FY21</v>
      </c>
      <c r="P133" s="6" t="str">
        <f t="shared" si="212"/>
        <v>Q4FY21</v>
      </c>
      <c r="Q133" s="6" t="str">
        <f t="shared" si="212"/>
        <v>Q1FY22</v>
      </c>
      <c r="R133" s="80" t="str">
        <f t="shared" si="212"/>
        <v>Q2FY22</v>
      </c>
      <c r="S133" s="80" t="str">
        <f t="shared" si="212"/>
        <v>Q3FY22</v>
      </c>
      <c r="T133" s="80" t="str">
        <f t="shared" si="212"/>
        <v>Q4FY22</v>
      </c>
      <c r="U133" s="80" t="str">
        <f t="shared" si="212"/>
        <v>Q1FY23</v>
      </c>
      <c r="V133" s="80" t="str">
        <f t="shared" si="212"/>
        <v>Q2FY23</v>
      </c>
      <c r="W133" s="80" t="str">
        <f t="shared" si="212"/>
        <v>Q3FY23</v>
      </c>
      <c r="X133" s="80" t="str">
        <f t="shared" si="212"/>
        <v>Q4FY23</v>
      </c>
      <c r="Y133" s="80" t="str">
        <f t="shared" si="212"/>
        <v>Q1FY24</v>
      </c>
      <c r="Z133" s="80" t="str">
        <f t="shared" si="212"/>
        <v>Q2FY24</v>
      </c>
      <c r="AA133" s="6" t="str">
        <f t="shared" si="212"/>
        <v>y-o-y</v>
      </c>
      <c r="AB133" s="6" t="str">
        <f t="shared" si="212"/>
        <v>q-o-q</v>
      </c>
      <c r="AC133" s="6"/>
    </row>
    <row r="134" spans="1:29" x14ac:dyDescent="0.35">
      <c r="A134" s="1" t="s">
        <v>149</v>
      </c>
      <c r="B134" s="30">
        <v>0.10199999999999999</v>
      </c>
      <c r="C134" s="30">
        <v>8.7999999999999995E-2</v>
      </c>
      <c r="D134" s="30">
        <v>8.4000000000000005E-2</v>
      </c>
      <c r="E134" s="30">
        <v>8.7999999999999995E-2</v>
      </c>
      <c r="F134" s="30">
        <v>0.08</v>
      </c>
      <c r="G134" s="30">
        <v>7.1499999999999994E-2</v>
      </c>
      <c r="H134" s="30">
        <f>H18</f>
        <v>7.3800000000000004E-2</v>
      </c>
      <c r="I134" s="30"/>
      <c r="M134" s="30">
        <f t="shared" ref="M134:S134" si="213">M18</f>
        <v>8.5000000000000006E-2</v>
      </c>
      <c r="N134" s="30">
        <f t="shared" si="213"/>
        <v>8.2699999999999996E-2</v>
      </c>
      <c r="O134" s="30">
        <f t="shared" si="213"/>
        <v>8.0299999999999996E-2</v>
      </c>
      <c r="P134" s="30">
        <f t="shared" si="213"/>
        <v>7.4200000000000002E-2</v>
      </c>
      <c r="Q134" s="30">
        <f t="shared" si="213"/>
        <v>7.17E-2</v>
      </c>
      <c r="R134" s="30">
        <f t="shared" si="213"/>
        <v>7.1300000000000002E-2</v>
      </c>
      <c r="S134" s="30">
        <f t="shared" si="213"/>
        <v>7.1599999999999997E-2</v>
      </c>
      <c r="T134" s="30">
        <v>7.1499999999999994E-2</v>
      </c>
      <c r="U134" s="30">
        <v>6.93E-2</v>
      </c>
      <c r="V134" s="30">
        <f>V18</f>
        <v>7.1326876000869593E-2</v>
      </c>
      <c r="W134" s="30">
        <f>W18</f>
        <v>7.4300000000000005E-2</v>
      </c>
      <c r="X134" s="30">
        <f>X18</f>
        <v>7.8899999999999998E-2</v>
      </c>
      <c r="Y134" s="30">
        <f>Y18</f>
        <v>8.0100000000000005E-2</v>
      </c>
      <c r="Z134" s="30">
        <f>Z18</f>
        <v>8.0750000000000002E-2</v>
      </c>
    </row>
    <row r="135" spans="1:29" s="2" customFormat="1" x14ac:dyDescent="0.35">
      <c r="A135" s="2" t="s">
        <v>85</v>
      </c>
      <c r="B135" s="31">
        <v>9.7000000000000003E-2</v>
      </c>
      <c r="C135" s="31">
        <v>7.4999999999999997E-2</v>
      </c>
      <c r="D135" s="31">
        <v>8.6999999999999994E-2</v>
      </c>
      <c r="E135" s="31">
        <v>8.7999999999999995E-2</v>
      </c>
      <c r="F135" s="31">
        <v>6.6000000000000003E-2</v>
      </c>
      <c r="G135" s="31">
        <v>6.8099999999999994E-2</v>
      </c>
      <c r="H135" s="31">
        <v>8.2460000000000006E-2</v>
      </c>
      <c r="I135" s="31"/>
      <c r="M135" s="31">
        <v>8.09E-2</v>
      </c>
      <c r="N135" s="31">
        <v>7.9000000000000001E-2</v>
      </c>
      <c r="O135" s="31">
        <v>5.8200000000000002E-2</v>
      </c>
      <c r="P135" s="31">
        <v>5.57E-2</v>
      </c>
      <c r="Q135" s="48">
        <v>7.5999999999999998E-2</v>
      </c>
      <c r="R135" s="48">
        <v>7.9299999999999995E-2</v>
      </c>
      <c r="S135" s="48">
        <v>7.6100000000000001E-2</v>
      </c>
      <c r="T135" s="48">
        <v>5.7700000000000001E-2</v>
      </c>
      <c r="U135" s="48">
        <v>7.6600000000000001E-2</v>
      </c>
      <c r="V135" s="48">
        <v>7.9699999999999993E-2</v>
      </c>
      <c r="W135" s="48">
        <v>8.5000000000000006E-2</v>
      </c>
      <c r="X135" s="48">
        <v>8.7800000000000003E-2</v>
      </c>
      <c r="Y135" s="48">
        <v>7.6399999999999996E-2</v>
      </c>
      <c r="Z135" s="48">
        <v>8.14E-2</v>
      </c>
      <c r="AA135" s="70"/>
      <c r="AB135" s="70"/>
      <c r="AC135" s="70"/>
    </row>
    <row r="136" spans="1:29" x14ac:dyDescent="0.35">
      <c r="A136" s="1" t="s">
        <v>125</v>
      </c>
      <c r="B136" s="3">
        <f t="shared" ref="B136:G136" si="214">B111</f>
        <v>6630.4499999999989</v>
      </c>
      <c r="C136" s="3">
        <f t="shared" si="214"/>
        <v>10198.76</v>
      </c>
      <c r="D136" s="3">
        <f t="shared" si="214"/>
        <v>19256.41</v>
      </c>
      <c r="E136" s="3">
        <f t="shared" si="214"/>
        <v>24938.05</v>
      </c>
      <c r="F136" s="3">
        <f t="shared" si="214"/>
        <v>30536.89</v>
      </c>
      <c r="G136" s="3">
        <f t="shared" si="214"/>
        <v>34667.67</v>
      </c>
      <c r="H136" s="3">
        <f t="shared" ref="H136" si="215">H111</f>
        <v>48134.729999999996</v>
      </c>
      <c r="I136" s="30">
        <f t="shared" ref="I136:I137" si="216">H136/G136-1</f>
        <v>0.38846164163902563</v>
      </c>
      <c r="M136" s="3">
        <f t="shared" ref="M136:T136" si="217">M111</f>
        <v>26540.76</v>
      </c>
      <c r="N136" s="3">
        <f t="shared" si="217"/>
        <v>26365.78</v>
      </c>
      <c r="O136" s="3">
        <f t="shared" si="217"/>
        <v>28393.51</v>
      </c>
      <c r="P136" s="3">
        <f t="shared" si="217"/>
        <v>30536.89</v>
      </c>
      <c r="Q136" s="3">
        <f t="shared" si="217"/>
        <v>30834.510000000002</v>
      </c>
      <c r="R136" s="3">
        <f t="shared" si="217"/>
        <v>30753.62</v>
      </c>
      <c r="S136" s="3">
        <f>S111</f>
        <v>30235.810000000005</v>
      </c>
      <c r="T136" s="3">
        <f t="shared" si="217"/>
        <v>34667.67</v>
      </c>
      <c r="U136" s="3">
        <f t="shared" ref="U136:V136" si="218">U111</f>
        <v>37803.32</v>
      </c>
      <c r="V136" s="3">
        <f t="shared" si="218"/>
        <v>41540.679999999993</v>
      </c>
      <c r="W136" s="3">
        <f>W111</f>
        <v>47013.88</v>
      </c>
      <c r="X136" s="3">
        <f>X111</f>
        <v>48134.729999999996</v>
      </c>
      <c r="Y136" s="3">
        <f>Y111</f>
        <v>56263.66</v>
      </c>
      <c r="Z136" s="3">
        <f>Z111</f>
        <v>60017.600000000006</v>
      </c>
      <c r="AA136" s="69">
        <f t="shared" ref="AA136:AA137" si="219">IFERROR(Z136/V136-1,"")</f>
        <v>0.44479098560736174</v>
      </c>
      <c r="AB136" s="69">
        <f t="shared" ref="AB136:AB137" si="220">IFERROR(Z136/Y136-1,"")</f>
        <v>6.6720508406314272E-2</v>
      </c>
      <c r="AC136" s="75"/>
    </row>
    <row r="137" spans="1:29" x14ac:dyDescent="0.35">
      <c r="A137" s="1" t="s">
        <v>185</v>
      </c>
      <c r="B137" s="58">
        <v>5458.96</v>
      </c>
      <c r="C137" s="32">
        <f t="shared" ref="C137:H137" si="221">AVERAGE(B136:C136)</f>
        <v>8414.6049999999996</v>
      </c>
      <c r="D137" s="32">
        <f t="shared" si="221"/>
        <v>14727.584999999999</v>
      </c>
      <c r="E137" s="32">
        <f t="shared" si="221"/>
        <v>22097.23</v>
      </c>
      <c r="F137" s="32">
        <f t="shared" si="221"/>
        <v>27737.47</v>
      </c>
      <c r="G137" s="32">
        <f t="shared" si="221"/>
        <v>32602.28</v>
      </c>
      <c r="H137" s="32">
        <f t="shared" si="221"/>
        <v>41401.199999999997</v>
      </c>
      <c r="I137" s="30">
        <f t="shared" si="216"/>
        <v>0.26988664596463807</v>
      </c>
      <c r="M137" s="55">
        <f>AVERAGE(M136,E136)</f>
        <v>25739.404999999999</v>
      </c>
      <c r="N137" s="55">
        <f t="shared" ref="N137:Z137" si="222">AVERAGE(M136:N136)</f>
        <v>26453.269999999997</v>
      </c>
      <c r="O137" s="55">
        <f t="shared" si="222"/>
        <v>27379.644999999997</v>
      </c>
      <c r="P137" s="55">
        <f t="shared" si="222"/>
        <v>29465.199999999997</v>
      </c>
      <c r="Q137" s="55">
        <f t="shared" si="222"/>
        <v>30685.7</v>
      </c>
      <c r="R137" s="55">
        <f t="shared" si="222"/>
        <v>30794.065000000002</v>
      </c>
      <c r="S137" s="55">
        <f t="shared" si="222"/>
        <v>30494.715000000004</v>
      </c>
      <c r="T137" s="55">
        <f t="shared" si="222"/>
        <v>32451.74</v>
      </c>
      <c r="U137" s="55">
        <f t="shared" si="222"/>
        <v>36235.494999999995</v>
      </c>
      <c r="V137" s="55">
        <f t="shared" si="222"/>
        <v>39672</v>
      </c>
      <c r="W137" s="55">
        <f t="shared" si="222"/>
        <v>44277.279999999999</v>
      </c>
      <c r="X137" s="55">
        <f t="shared" si="222"/>
        <v>47574.304999999993</v>
      </c>
      <c r="Y137" s="55">
        <f t="shared" si="222"/>
        <v>52199.195</v>
      </c>
      <c r="Z137" s="55">
        <f t="shared" si="222"/>
        <v>58140.630000000005</v>
      </c>
      <c r="AA137" s="69">
        <f t="shared" si="219"/>
        <v>0.46553312159709637</v>
      </c>
      <c r="AB137" s="69">
        <f t="shared" si="220"/>
        <v>0.11382234917607459</v>
      </c>
      <c r="AC137" s="75"/>
    </row>
    <row r="138" spans="1:29" x14ac:dyDescent="0.35">
      <c r="A138" s="1" t="s">
        <v>91</v>
      </c>
      <c r="B138" s="19">
        <f t="shared" ref="B138:G138" si="223">B136/B145</f>
        <v>2.1642816574073467</v>
      </c>
      <c r="C138" s="19">
        <f t="shared" si="223"/>
        <v>3.1360054118044984</v>
      </c>
      <c r="D138" s="19">
        <f t="shared" si="223"/>
        <v>3.6843020619483764</v>
      </c>
      <c r="E138" s="19">
        <f t="shared" si="223"/>
        <v>2.671668670039189</v>
      </c>
      <c r="F138" s="19">
        <f t="shared" si="223"/>
        <v>2.2119477625832733</v>
      </c>
      <c r="G138" s="19">
        <f t="shared" si="223"/>
        <v>2.2029612025278245</v>
      </c>
      <c r="H138" s="19">
        <f t="shared" ref="H138" si="224">H136/H145</f>
        <v>2.6486379261106481</v>
      </c>
      <c r="I138" s="19"/>
      <c r="M138" s="19">
        <f t="shared" ref="M138:T138" si="225">M136/M145</f>
        <v>2.7287453888196613</v>
      </c>
      <c r="N138" s="19">
        <f t="shared" si="225"/>
        <v>2.6686687416179558</v>
      </c>
      <c r="O138" s="19">
        <f t="shared" si="225"/>
        <v>2.6000097064797156</v>
      </c>
      <c r="P138" s="19">
        <f t="shared" si="225"/>
        <v>2.2119477625832733</v>
      </c>
      <c r="Q138" s="19">
        <f t="shared" si="225"/>
        <v>2.1756362964133715</v>
      </c>
      <c r="R138" s="19">
        <f t="shared" si="225"/>
        <v>2.1025413485309241</v>
      </c>
      <c r="S138" s="19">
        <f>S136/S145</f>
        <v>2.0023396979120864</v>
      </c>
      <c r="T138" s="19">
        <f t="shared" si="225"/>
        <v>2.2029612025278245</v>
      </c>
      <c r="U138" s="19">
        <f t="shared" ref="U138:V138" si="226">U136/U145</f>
        <v>2.3221839389012122</v>
      </c>
      <c r="V138" s="19">
        <f t="shared" si="226"/>
        <v>2.4644169293298179</v>
      </c>
      <c r="W138" s="19">
        <f t="shared" ref="W138:X138" si="227">W136/W145</f>
        <v>2.6890735730668696</v>
      </c>
      <c r="X138" s="19">
        <f t="shared" si="227"/>
        <v>2.6486379261106481</v>
      </c>
      <c r="Y138" s="19">
        <f t="shared" ref="Y138:Z138" si="228">Y136/Y145</f>
        <v>3.0120183814318415</v>
      </c>
      <c r="Z138" s="19">
        <f t="shared" si="228"/>
        <v>3.0829924201174066</v>
      </c>
    </row>
    <row r="139" spans="1:29" x14ac:dyDescent="0.35">
      <c r="A139" s="1" t="s">
        <v>92</v>
      </c>
      <c r="B139" s="11">
        <f t="shared" ref="B139:G139" si="229">B129</f>
        <v>0.68520000000000003</v>
      </c>
      <c r="C139" s="11">
        <f t="shared" si="229"/>
        <v>0.43019999999999997</v>
      </c>
      <c r="D139" s="11">
        <f t="shared" si="229"/>
        <v>0.38479999999999998</v>
      </c>
      <c r="E139" s="11">
        <f t="shared" si="229"/>
        <v>0.48970000000000002</v>
      </c>
      <c r="F139" s="11">
        <f t="shared" si="229"/>
        <v>0.56190000000000007</v>
      </c>
      <c r="G139" s="11">
        <f t="shared" si="229"/>
        <v>0.58610000000000007</v>
      </c>
      <c r="H139" s="11">
        <f t="shared" ref="H139" si="230">H129</f>
        <v>0.49380000000000002</v>
      </c>
      <c r="I139" s="11"/>
      <c r="M139" s="11">
        <f t="shared" ref="M139:T139" si="231">M129</f>
        <v>0.46929999999999999</v>
      </c>
      <c r="N139" s="11">
        <f t="shared" si="231"/>
        <v>0.51690000000000003</v>
      </c>
      <c r="O139" s="11">
        <f t="shared" si="231"/>
        <v>0.52310000000000001</v>
      </c>
      <c r="P139" s="11">
        <f t="shared" si="231"/>
        <v>0.56190000000000007</v>
      </c>
      <c r="Q139" s="11">
        <f t="shared" si="231"/>
        <v>0.56369999999999998</v>
      </c>
      <c r="R139" s="11">
        <f t="shared" si="231"/>
        <v>0.5636000000000001</v>
      </c>
      <c r="S139" s="11">
        <f>S129</f>
        <v>0.58979999999999999</v>
      </c>
      <c r="T139" s="11">
        <f t="shared" si="231"/>
        <v>0.58610000000000007</v>
      </c>
      <c r="U139" s="11">
        <f t="shared" ref="U139:V139" si="232">U129</f>
        <v>0.52310000000000001</v>
      </c>
      <c r="V139" s="11">
        <f t="shared" si="232"/>
        <v>0.50700000000000001</v>
      </c>
      <c r="W139" s="11">
        <f t="shared" ref="W139:X139" si="233">W129</f>
        <v>0.49630000000000002</v>
      </c>
      <c r="X139" s="11">
        <f t="shared" si="233"/>
        <v>0.49380000000000002</v>
      </c>
      <c r="Y139" s="11">
        <f t="shared" ref="Y139:Z139" si="234">Y129</f>
        <v>0.45989999999999998</v>
      </c>
      <c r="Z139" s="11">
        <f t="shared" si="234"/>
        <v>0.45489999999999997</v>
      </c>
    </row>
    <row r="140" spans="1:29" x14ac:dyDescent="0.35">
      <c r="A140" s="1" t="s">
        <v>93</v>
      </c>
      <c r="B140" s="19">
        <f t="shared" ref="B140:G140" si="235">B137/B146</f>
        <v>2.3723726725349894</v>
      </c>
      <c r="C140" s="19">
        <f t="shared" si="235"/>
        <v>2.6646500087875826</v>
      </c>
      <c r="D140" s="19">
        <f t="shared" si="235"/>
        <v>3.4739950181394454</v>
      </c>
      <c r="E140" s="19">
        <f t="shared" si="235"/>
        <v>3.0351524325126178</v>
      </c>
      <c r="F140" s="19">
        <f t="shared" si="235"/>
        <v>2.3973933963678857</v>
      </c>
      <c r="G140" s="19">
        <f t="shared" si="235"/>
        <v>2.2071607201610708</v>
      </c>
      <c r="H140" s="19">
        <f t="shared" ref="H140" si="236">H137/H146</f>
        <v>2.441811087152435</v>
      </c>
      <c r="I140" s="19"/>
      <c r="M140" s="19">
        <f t="shared" ref="M140:T140" si="237">M137/M146</f>
        <v>2.700794097988418</v>
      </c>
      <c r="N140" s="19">
        <f t="shared" si="237"/>
        <v>2.6984720579452013</v>
      </c>
      <c r="O140" s="19">
        <f t="shared" si="237"/>
        <v>2.6326214682583746</v>
      </c>
      <c r="P140" s="19">
        <f t="shared" si="237"/>
        <v>2.3833402693605139</v>
      </c>
      <c r="Q140" s="19">
        <f t="shared" si="237"/>
        <v>2.1935537369089433</v>
      </c>
      <c r="R140" s="19">
        <f t="shared" si="237"/>
        <v>2.1385123779840778</v>
      </c>
      <c r="S140" s="19">
        <f>S137/S146</f>
        <v>2.0516427423847321</v>
      </c>
      <c r="T140" s="19">
        <f t="shared" si="237"/>
        <v>2.1047212950378911</v>
      </c>
      <c r="U140" s="19">
        <f t="shared" ref="U140:V140" si="238">U137/U146</f>
        <v>2.2635824020819548</v>
      </c>
      <c r="V140" s="19">
        <f t="shared" si="238"/>
        <v>2.3945387712235253</v>
      </c>
      <c r="W140" s="19">
        <f t="shared" ref="W140:X140" si="239">W137/W146</f>
        <v>2.5787965983187284</v>
      </c>
      <c r="X140" s="19">
        <f t="shared" si="239"/>
        <v>2.6684644592641655</v>
      </c>
      <c r="Y140" s="19">
        <f t="shared" ref="Y140:Z140" si="240">Y137/Y146</f>
        <v>2.8328244210597151</v>
      </c>
      <c r="Z140" s="19">
        <f t="shared" si="240"/>
        <v>3.0482380808576495</v>
      </c>
    </row>
    <row r="142" spans="1:29" s="5" customFormat="1" x14ac:dyDescent="0.35">
      <c r="A142" s="5" t="s">
        <v>131</v>
      </c>
      <c r="B142" s="22" t="str">
        <f t="shared" ref="B142:H142" si="241">B$1</f>
        <v>FY17</v>
      </c>
      <c r="C142" s="22" t="str">
        <f t="shared" si="241"/>
        <v>FY18</v>
      </c>
      <c r="D142" s="22" t="str">
        <f t="shared" si="241"/>
        <v>FY19</v>
      </c>
      <c r="E142" s="22" t="str">
        <f t="shared" si="241"/>
        <v>FY20</v>
      </c>
      <c r="F142" s="22" t="str">
        <f t="shared" si="241"/>
        <v>FY21</v>
      </c>
      <c r="G142" s="22" t="str">
        <f t="shared" si="241"/>
        <v>FY22</v>
      </c>
      <c r="H142" s="22" t="str">
        <f t="shared" si="241"/>
        <v>FY23</v>
      </c>
      <c r="I142" s="22"/>
      <c r="M142" s="6" t="str">
        <f t="shared" ref="M142:AB142" si="242">M$1</f>
        <v>Q1FY21</v>
      </c>
      <c r="N142" s="6" t="str">
        <f t="shared" si="242"/>
        <v>Q2FY21</v>
      </c>
      <c r="O142" s="80" t="str">
        <f t="shared" si="242"/>
        <v>Q3FY21</v>
      </c>
      <c r="P142" s="6" t="str">
        <f t="shared" si="242"/>
        <v>Q4FY21</v>
      </c>
      <c r="Q142" s="6" t="str">
        <f t="shared" si="242"/>
        <v>Q1FY22</v>
      </c>
      <c r="R142" s="80" t="str">
        <f t="shared" si="242"/>
        <v>Q2FY22</v>
      </c>
      <c r="S142" s="80" t="str">
        <f t="shared" si="242"/>
        <v>Q3FY22</v>
      </c>
      <c r="T142" s="80" t="str">
        <f t="shared" si="242"/>
        <v>Q4FY22</v>
      </c>
      <c r="U142" s="80" t="str">
        <f t="shared" si="242"/>
        <v>Q1FY23</v>
      </c>
      <c r="V142" s="80" t="str">
        <f t="shared" si="242"/>
        <v>Q2FY23</v>
      </c>
      <c r="W142" s="80" t="str">
        <f t="shared" si="242"/>
        <v>Q3FY23</v>
      </c>
      <c r="X142" s="80" t="str">
        <f t="shared" si="242"/>
        <v>Q4FY23</v>
      </c>
      <c r="Y142" s="80" t="str">
        <f t="shared" si="242"/>
        <v>Q1FY24</v>
      </c>
      <c r="Z142" s="80" t="str">
        <f t="shared" si="242"/>
        <v>Q2FY24</v>
      </c>
      <c r="AA142" s="6" t="str">
        <f t="shared" si="242"/>
        <v>y-o-y</v>
      </c>
      <c r="AB142" s="6" t="str">
        <f t="shared" si="242"/>
        <v>q-o-q</v>
      </c>
      <c r="AC142" s="6"/>
    </row>
    <row r="143" spans="1:29" x14ac:dyDescent="0.35">
      <c r="A143" s="1" t="s">
        <v>34</v>
      </c>
      <c r="B143" s="3">
        <f t="shared" ref="B143:G143" si="243">B95</f>
        <v>9889.58</v>
      </c>
      <c r="C143" s="3">
        <f t="shared" si="243"/>
        <v>13649.42</v>
      </c>
      <c r="D143" s="3">
        <f t="shared" si="243"/>
        <v>24815.260000000002</v>
      </c>
      <c r="E143" s="3">
        <f t="shared" si="243"/>
        <v>34802.089999999989</v>
      </c>
      <c r="F143" s="3">
        <f t="shared" si="243"/>
        <v>45101.549999999988</v>
      </c>
      <c r="G143" s="3">
        <f t="shared" si="243"/>
        <v>51178.15</v>
      </c>
      <c r="H143" s="3">
        <f t="shared" ref="H143" si="244">H95</f>
        <v>67389.610000000015</v>
      </c>
      <c r="M143" s="46">
        <v>36987.93</v>
      </c>
      <c r="N143" s="46">
        <v>37223.770000000004</v>
      </c>
      <c r="O143" s="46">
        <v>40084.19</v>
      </c>
      <c r="P143" s="46">
        <v>45101.549999999988</v>
      </c>
      <c r="Q143" s="46">
        <v>45780.28</v>
      </c>
      <c r="R143" s="46">
        <v>46324.609999999993</v>
      </c>
      <c r="S143" s="46">
        <f t="shared" ref="S143:X143" si="245">S106</f>
        <v>46310.049999999988</v>
      </c>
      <c r="T143" s="46">
        <f t="shared" si="245"/>
        <v>51178.15</v>
      </c>
      <c r="U143" s="46">
        <f t="shared" si="245"/>
        <v>54952.56</v>
      </c>
      <c r="V143" s="46">
        <f t="shared" si="245"/>
        <v>59563.200000000012</v>
      </c>
      <c r="W143" s="46">
        <f t="shared" si="245"/>
        <v>65496.420000000013</v>
      </c>
      <c r="X143" s="46">
        <f t="shared" si="245"/>
        <v>67389.61</v>
      </c>
      <c r="Y143" s="46">
        <f t="shared" ref="Y143:Z143" si="246">Y106</f>
        <v>76077.579999999987</v>
      </c>
      <c r="Z143" s="46">
        <f t="shared" si="246"/>
        <v>80434.3</v>
      </c>
      <c r="AA143" s="69">
        <f t="shared" ref="AA143:AA146" si="247">IFERROR(Z143/V143-1,"")</f>
        <v>0.3504025975770273</v>
      </c>
      <c r="AB143" s="69">
        <f t="shared" ref="AB143:AB146" si="248">IFERROR(Z143/Y143-1,"")</f>
        <v>5.7266805805337384E-2</v>
      </c>
      <c r="AC143" s="75"/>
    </row>
    <row r="144" spans="1:29" x14ac:dyDescent="0.35">
      <c r="A144" s="8" t="s">
        <v>86</v>
      </c>
      <c r="B144" s="33">
        <v>7908.2550000000001</v>
      </c>
      <c r="C144" s="32">
        <f t="shared" ref="C144:H144" si="249">AVERAGE(B143:C143)</f>
        <v>11769.5</v>
      </c>
      <c r="D144" s="32">
        <f t="shared" si="249"/>
        <v>19232.34</v>
      </c>
      <c r="E144" s="32">
        <f t="shared" si="249"/>
        <v>29808.674999999996</v>
      </c>
      <c r="F144" s="32">
        <f t="shared" si="249"/>
        <v>39951.819999999992</v>
      </c>
      <c r="G144" s="32">
        <f t="shared" si="249"/>
        <v>48139.849999999991</v>
      </c>
      <c r="H144" s="32">
        <f t="shared" si="249"/>
        <v>59283.880000000005</v>
      </c>
      <c r="I144" s="32"/>
      <c r="M144" s="55">
        <f>AVERAGE(M143,E143)</f>
        <v>35895.009999999995</v>
      </c>
      <c r="N144" s="55">
        <f t="shared" ref="N144:Z144" si="250">AVERAGE(M143:N143)</f>
        <v>37105.850000000006</v>
      </c>
      <c r="O144" s="55">
        <f t="shared" si="250"/>
        <v>38653.980000000003</v>
      </c>
      <c r="P144" s="55">
        <f t="shared" si="250"/>
        <v>42592.869999999995</v>
      </c>
      <c r="Q144" s="55">
        <f t="shared" si="250"/>
        <v>45440.914999999994</v>
      </c>
      <c r="R144" s="55">
        <f t="shared" si="250"/>
        <v>46052.444999999992</v>
      </c>
      <c r="S144" s="55">
        <f t="shared" si="250"/>
        <v>46317.329999999987</v>
      </c>
      <c r="T144" s="55">
        <f t="shared" si="250"/>
        <v>48744.099999999991</v>
      </c>
      <c r="U144" s="55">
        <f t="shared" si="250"/>
        <v>53065.354999999996</v>
      </c>
      <c r="V144" s="55">
        <f t="shared" si="250"/>
        <v>57257.880000000005</v>
      </c>
      <c r="W144" s="55">
        <f t="shared" si="250"/>
        <v>62529.810000000012</v>
      </c>
      <c r="X144" s="55">
        <f t="shared" si="250"/>
        <v>66443.015000000014</v>
      </c>
      <c r="Y144" s="55">
        <f t="shared" si="250"/>
        <v>71733.595000000001</v>
      </c>
      <c r="Z144" s="55">
        <f t="shared" si="250"/>
        <v>78255.94</v>
      </c>
      <c r="AA144" s="69">
        <f t="shared" si="247"/>
        <v>0.36672786348359376</v>
      </c>
      <c r="AB144" s="69">
        <f t="shared" si="248"/>
        <v>9.0924552157186644E-2</v>
      </c>
      <c r="AC144" s="75"/>
    </row>
    <row r="145" spans="1:30" x14ac:dyDescent="0.35">
      <c r="A145" s="1" t="s">
        <v>87</v>
      </c>
      <c r="B145" s="3">
        <f t="shared" ref="B145:G145" si="251">B105</f>
        <v>3063.58</v>
      </c>
      <c r="C145" s="3">
        <f t="shared" si="251"/>
        <v>3252.15</v>
      </c>
      <c r="D145" s="3">
        <f t="shared" si="251"/>
        <v>5226.6099999999988</v>
      </c>
      <c r="E145" s="3">
        <f t="shared" si="251"/>
        <v>9334.26</v>
      </c>
      <c r="F145" s="3">
        <f t="shared" si="251"/>
        <v>13805.43</v>
      </c>
      <c r="G145" s="3">
        <f t="shared" si="251"/>
        <v>15736.85</v>
      </c>
      <c r="H145" s="3">
        <f t="shared" ref="H145" si="252">H105</f>
        <v>18173.390000000003</v>
      </c>
      <c r="M145" s="46">
        <v>9726.3599999999988</v>
      </c>
      <c r="N145" s="46">
        <v>9879.75</v>
      </c>
      <c r="O145" s="46">
        <v>10920.54</v>
      </c>
      <c r="P145" s="46">
        <v>13805.43</v>
      </c>
      <c r="Q145" s="46">
        <v>14172.64</v>
      </c>
      <c r="R145" s="46">
        <v>14626.879999999997</v>
      </c>
      <c r="S145" s="46">
        <v>15100.24</v>
      </c>
      <c r="T145" s="46">
        <f>G145</f>
        <v>15736.85</v>
      </c>
      <c r="U145" s="46">
        <f t="shared" ref="U145:Z145" si="253">U105</f>
        <v>16279.21</v>
      </c>
      <c r="V145" s="46">
        <f t="shared" si="253"/>
        <v>16856.190000000002</v>
      </c>
      <c r="W145" s="46">
        <f t="shared" si="253"/>
        <v>17483.3</v>
      </c>
      <c r="X145" s="46">
        <f t="shared" si="253"/>
        <v>18173.390000000003</v>
      </c>
      <c r="Y145" s="46">
        <f t="shared" si="253"/>
        <v>18679.72</v>
      </c>
      <c r="Z145" s="46">
        <f t="shared" si="253"/>
        <v>19467.320000000003</v>
      </c>
      <c r="AA145" s="69">
        <f t="shared" si="247"/>
        <v>0.15490629851704329</v>
      </c>
      <c r="AB145" s="69">
        <f t="shared" si="248"/>
        <v>4.2163372898523122E-2</v>
      </c>
      <c r="AC145" s="75"/>
    </row>
    <row r="146" spans="1:30" x14ac:dyDescent="0.35">
      <c r="A146" s="8" t="s">
        <v>88</v>
      </c>
      <c r="B146" s="33">
        <v>2301.0549999999998</v>
      </c>
      <c r="C146" s="32">
        <f t="shared" ref="C146:H146" si="254">AVERAGE(B145:C145)</f>
        <v>3157.8649999999998</v>
      </c>
      <c r="D146" s="32">
        <f t="shared" si="254"/>
        <v>4239.3799999999992</v>
      </c>
      <c r="E146" s="32">
        <f t="shared" si="254"/>
        <v>7280.4349999999995</v>
      </c>
      <c r="F146" s="32">
        <f t="shared" si="254"/>
        <v>11569.845000000001</v>
      </c>
      <c r="G146" s="32">
        <f t="shared" si="254"/>
        <v>14771.14</v>
      </c>
      <c r="H146" s="32">
        <f t="shared" si="254"/>
        <v>16955.120000000003</v>
      </c>
      <c r="I146" s="32"/>
      <c r="M146" s="55">
        <f>AVERAGE(M145,E145)</f>
        <v>9530.31</v>
      </c>
      <c r="N146" s="55">
        <f t="shared" ref="N146:Z146" si="255">AVERAGE(M145:N145)</f>
        <v>9803.0550000000003</v>
      </c>
      <c r="O146" s="55">
        <f t="shared" si="255"/>
        <v>10400.145</v>
      </c>
      <c r="P146" s="55">
        <f t="shared" si="255"/>
        <v>12362.985000000001</v>
      </c>
      <c r="Q146" s="55">
        <f t="shared" si="255"/>
        <v>13989.035</v>
      </c>
      <c r="R146" s="55">
        <f t="shared" si="255"/>
        <v>14399.759999999998</v>
      </c>
      <c r="S146" s="55">
        <f t="shared" si="255"/>
        <v>14863.559999999998</v>
      </c>
      <c r="T146" s="55">
        <f t="shared" si="255"/>
        <v>15418.545</v>
      </c>
      <c r="U146" s="55">
        <f t="shared" si="255"/>
        <v>16008.029999999999</v>
      </c>
      <c r="V146" s="55">
        <f t="shared" si="255"/>
        <v>16567.7</v>
      </c>
      <c r="W146" s="55">
        <f t="shared" si="255"/>
        <v>17169.745000000003</v>
      </c>
      <c r="X146" s="55">
        <f t="shared" si="255"/>
        <v>17828.345000000001</v>
      </c>
      <c r="Y146" s="55">
        <f t="shared" si="255"/>
        <v>18426.555</v>
      </c>
      <c r="Z146" s="55">
        <f t="shared" si="255"/>
        <v>19073.520000000004</v>
      </c>
      <c r="AA146" s="69">
        <f t="shared" si="247"/>
        <v>0.15124730650603291</v>
      </c>
      <c r="AB146" s="69">
        <f t="shared" si="248"/>
        <v>3.5110469645574183E-2</v>
      </c>
      <c r="AC146" s="75"/>
    </row>
    <row r="147" spans="1:30" x14ac:dyDescent="0.35">
      <c r="A147" s="1" t="s">
        <v>132</v>
      </c>
      <c r="B147" s="11">
        <f t="shared" ref="B147:G150" si="256">B49/B$144</f>
        <v>0.10770770542932669</v>
      </c>
      <c r="C147" s="11">
        <f t="shared" si="256"/>
        <v>0.10828582352691281</v>
      </c>
      <c r="D147" s="11">
        <f t="shared" si="256"/>
        <v>0.119026077949953</v>
      </c>
      <c r="E147" s="11">
        <f t="shared" si="256"/>
        <v>0.11489876688581428</v>
      </c>
      <c r="F147" s="11">
        <f t="shared" si="256"/>
        <v>0.10165519368078853</v>
      </c>
      <c r="G147" s="11">
        <f t="shared" si="256"/>
        <v>9.9095447950087096E-2</v>
      </c>
      <c r="H147" s="11">
        <f t="shared" ref="H147" si="257">H49/H$144</f>
        <v>0.11512353779813329</v>
      </c>
      <c r="I147" s="11"/>
      <c r="M147" s="11">
        <f t="shared" ref="M147:W147" si="258">M49/M$144*4</f>
        <v>0.11327034036207263</v>
      </c>
      <c r="N147" s="11">
        <f t="shared" si="258"/>
        <v>0.1053731419708752</v>
      </c>
      <c r="O147" s="11">
        <f t="shared" si="258"/>
        <v>0.10576711634869164</v>
      </c>
      <c r="P147" s="11">
        <f t="shared" si="258"/>
        <v>9.8164786735432483E-2</v>
      </c>
      <c r="Q147" s="11">
        <f t="shared" si="258"/>
        <v>9.6060565681831023E-2</v>
      </c>
      <c r="R147" s="11">
        <f t="shared" si="258"/>
        <v>0.10026655479421345</v>
      </c>
      <c r="S147" s="11">
        <f t="shared" si="258"/>
        <v>0.10488514774059735</v>
      </c>
      <c r="T147" s="11">
        <f t="shared" si="258"/>
        <v>0.10752398751848943</v>
      </c>
      <c r="U147" s="11">
        <f t="shared" si="258"/>
        <v>0.10929089233455615</v>
      </c>
      <c r="V147" s="11">
        <f t="shared" si="258"/>
        <v>0.11437307843042738</v>
      </c>
      <c r="W147" s="11">
        <f t="shared" si="258"/>
        <v>0.11518666057037433</v>
      </c>
      <c r="X147" s="11">
        <f t="shared" ref="X147:Y147" si="259">X49/X$144*4</f>
        <v>0.11662565282445413</v>
      </c>
      <c r="Y147" s="11">
        <f t="shared" si="259"/>
        <v>0.12078970808586967</v>
      </c>
      <c r="Z147" s="11">
        <f t="shared" ref="Z147" si="260">Z49/Z$144*4</f>
        <v>0.12000418115225513</v>
      </c>
      <c r="AD147" s="112"/>
    </row>
    <row r="148" spans="1:30" x14ac:dyDescent="0.35">
      <c r="A148" t="s">
        <v>152</v>
      </c>
      <c r="B148" s="11">
        <f t="shared" si="256"/>
        <v>3.2775877864332907E-3</v>
      </c>
      <c r="C148" s="11">
        <f t="shared" si="256"/>
        <v>0</v>
      </c>
      <c r="D148" s="11">
        <f t="shared" si="256"/>
        <v>1.116660791146579E-2</v>
      </c>
      <c r="E148" s="11">
        <f t="shared" si="256"/>
        <v>1.2453421696871803E-2</v>
      </c>
      <c r="F148" s="11">
        <f t="shared" si="256"/>
        <v>1.0996995881539316E-2</v>
      </c>
      <c r="G148" s="11">
        <f t="shared" si="256"/>
        <v>1.4091028534571674E-2</v>
      </c>
      <c r="H148" s="11">
        <f t="shared" ref="H148" si="261">H50/H$144</f>
        <v>6.4160780299804933E-3</v>
      </c>
      <c r="I148" s="11"/>
      <c r="M148" s="11">
        <f t="shared" ref="M148:W148" si="262">M50/M$144*4</f>
        <v>2.870928298947403E-2</v>
      </c>
      <c r="N148" s="11">
        <f t="shared" si="262"/>
        <v>0</v>
      </c>
      <c r="O148" s="11">
        <f t="shared" si="262"/>
        <v>0</v>
      </c>
      <c r="P148" s="11">
        <f t="shared" si="262"/>
        <v>1.7065767110786386E-2</v>
      </c>
      <c r="Q148" s="11">
        <f t="shared" si="262"/>
        <v>1.7046311677482731E-2</v>
      </c>
      <c r="R148" s="11">
        <f t="shared" si="262"/>
        <v>1.4830048654311406E-2</v>
      </c>
      <c r="S148" s="11">
        <f t="shared" si="262"/>
        <v>1.5179631468394232E-2</v>
      </c>
      <c r="T148" s="11">
        <f t="shared" si="262"/>
        <v>1.1339218490032646E-2</v>
      </c>
      <c r="U148" s="11">
        <f t="shared" si="262"/>
        <v>7.4624960108153433E-3</v>
      </c>
      <c r="V148" s="11">
        <f t="shared" si="262"/>
        <v>6.5178801590278926E-3</v>
      </c>
      <c r="W148" s="11">
        <f t="shared" si="262"/>
        <v>4.8642399521124369E-3</v>
      </c>
      <c r="X148" s="11">
        <f t="shared" ref="X148:Y148" si="263">X50/X$144*4</f>
        <v>6.7444260318409695E-3</v>
      </c>
      <c r="Y148" s="11">
        <f t="shared" si="263"/>
        <v>7.0098257308866228E-3</v>
      </c>
      <c r="Z148" s="11">
        <f t="shared" ref="Z148" si="264">Z50/Z$144*4</f>
        <v>7.7387096749460824E-3</v>
      </c>
      <c r="AD148" s="112"/>
    </row>
    <row r="149" spans="1:30" x14ac:dyDescent="0.35">
      <c r="A149" s="1" t="s">
        <v>157</v>
      </c>
      <c r="B149" s="11">
        <f t="shared" si="256"/>
        <v>4.8139570613238954E-3</v>
      </c>
      <c r="C149" s="11">
        <f t="shared" si="256"/>
        <v>5.7691490717532599E-3</v>
      </c>
      <c r="D149" s="11">
        <f t="shared" si="256"/>
        <v>1.0728283713786259E-2</v>
      </c>
      <c r="E149" s="11">
        <f t="shared" si="256"/>
        <v>1.3437363452082324E-2</v>
      </c>
      <c r="F149" s="11">
        <f t="shared" si="256"/>
        <v>9.7855366789297727E-3</v>
      </c>
      <c r="G149" s="11">
        <f t="shared" si="256"/>
        <v>1.0557365675215025E-2</v>
      </c>
      <c r="H149" s="11">
        <f t="shared" ref="H149" si="265">H51/H$144</f>
        <v>1.2661789343072691E-2</v>
      </c>
      <c r="I149" s="11"/>
      <c r="M149" s="11">
        <f t="shared" ref="M149:W149" si="266">M51/M$144*4</f>
        <v>7.591027276493305E-3</v>
      </c>
      <c r="N149" s="11">
        <f t="shared" si="266"/>
        <v>1.1918336327021209E-2</v>
      </c>
      <c r="O149" s="11">
        <f t="shared" si="266"/>
        <v>8.3603292597553974E-3</v>
      </c>
      <c r="P149" s="11">
        <f t="shared" si="266"/>
        <v>1.2347606536023518E-2</v>
      </c>
      <c r="Q149" s="11">
        <f t="shared" si="266"/>
        <v>1.170751073124298E-2</v>
      </c>
      <c r="R149" s="11">
        <f t="shared" si="266"/>
        <v>1.1818699311187496E-2</v>
      </c>
      <c r="S149" s="11">
        <f t="shared" si="266"/>
        <v>1.0947954037937855E-2</v>
      </c>
      <c r="T149" s="11">
        <f t="shared" si="266"/>
        <v>9.2228597922620389E-3</v>
      </c>
      <c r="U149" s="11">
        <f t="shared" si="266"/>
        <v>1.0896751750742081E-2</v>
      </c>
      <c r="V149" s="11">
        <f t="shared" si="266"/>
        <v>1.1428295983015787E-2</v>
      </c>
      <c r="W149" s="11">
        <f t="shared" si="266"/>
        <v>1.1433266789072279E-2</v>
      </c>
      <c r="X149" s="11">
        <f t="shared" ref="X149:Y149" si="267">X51/X$144*4</f>
        <v>1.58788700362258E-2</v>
      </c>
      <c r="Y149" s="11">
        <f t="shared" si="267"/>
        <v>1.7073729540531182E-2</v>
      </c>
      <c r="Z149" s="11">
        <f t="shared" ref="Z149" si="268">Z51/Z$144*4</f>
        <v>1.4345236923868014E-2</v>
      </c>
      <c r="AD149" s="112"/>
    </row>
    <row r="150" spans="1:30" x14ac:dyDescent="0.35">
      <c r="A150" s="2" t="s">
        <v>153</v>
      </c>
      <c r="B150" s="11">
        <f t="shared" si="256"/>
        <v>0.11579925027708388</v>
      </c>
      <c r="C150" s="11">
        <f t="shared" si="256"/>
        <v>0.11405497259866608</v>
      </c>
      <c r="D150" s="11">
        <f t="shared" si="256"/>
        <v>0.14092096957520503</v>
      </c>
      <c r="E150" s="11">
        <f t="shared" si="256"/>
        <v>0.14078955203476842</v>
      </c>
      <c r="F150" s="11">
        <f t="shared" si="256"/>
        <v>0.12243772624125761</v>
      </c>
      <c r="G150" s="11">
        <f t="shared" si="256"/>
        <v>0.12374384215987379</v>
      </c>
      <c r="H150" s="11">
        <f t="shared" ref="H150" si="269">H52/H$144</f>
        <v>0.13420140517118648</v>
      </c>
      <c r="I150" s="11"/>
      <c r="M150" s="11">
        <f t="shared" ref="M150:W150" si="270">M52/M$144*4</f>
        <v>0.14957065062803998</v>
      </c>
      <c r="N150" s="11">
        <f t="shared" si="270"/>
        <v>0.11729147829789641</v>
      </c>
      <c r="O150" s="11">
        <f t="shared" si="270"/>
        <v>0.11412744560844705</v>
      </c>
      <c r="P150" s="11">
        <f t="shared" si="270"/>
        <v>0.1275781603822424</v>
      </c>
      <c r="Q150" s="11">
        <f t="shared" si="270"/>
        <v>0.12481438809055674</v>
      </c>
      <c r="R150" s="11">
        <f t="shared" si="270"/>
        <v>0.12691530275971236</v>
      </c>
      <c r="S150" s="11">
        <f t="shared" si="270"/>
        <v>0.13101273324692941</v>
      </c>
      <c r="T150" s="11">
        <f t="shared" si="270"/>
        <v>0.12808606580078413</v>
      </c>
      <c r="U150" s="11">
        <f t="shared" si="270"/>
        <v>0.12765014009611356</v>
      </c>
      <c r="V150" s="11">
        <f t="shared" si="270"/>
        <v>0.13231925457247104</v>
      </c>
      <c r="W150" s="11">
        <f t="shared" si="270"/>
        <v>0.13148416731155904</v>
      </c>
      <c r="X150" s="11">
        <f t="shared" ref="X150:Y150" si="271">X52/X$144*4</f>
        <v>0.1392489488925209</v>
      </c>
      <c r="Y150" s="11">
        <f t="shared" si="271"/>
        <v>0.14487326335728748</v>
      </c>
      <c r="Z150" s="11">
        <f t="shared" ref="Z150" si="272">Z52/Z$144*4</f>
        <v>0.14208812775106924</v>
      </c>
      <c r="AD150" s="112"/>
    </row>
    <row r="151" spans="1:30" x14ac:dyDescent="0.35">
      <c r="A151" s="1" t="s">
        <v>133</v>
      </c>
      <c r="B151" s="11">
        <f t="shared" ref="B151:G151" si="273">B53/B144</f>
        <v>6.7378960339543936E-2</v>
      </c>
      <c r="C151" s="11">
        <f t="shared" si="273"/>
        <v>5.4981944857470579E-2</v>
      </c>
      <c r="D151" s="11">
        <f t="shared" si="273"/>
        <v>6.4933856202625359E-2</v>
      </c>
      <c r="E151" s="11">
        <f t="shared" si="273"/>
        <v>6.4150117373549823E-2</v>
      </c>
      <c r="F151" s="11">
        <f t="shared" si="273"/>
        <v>5.421129750784822E-2</v>
      </c>
      <c r="G151" s="11">
        <f t="shared" si="273"/>
        <v>4.4623113698941737E-2</v>
      </c>
      <c r="H151" s="11">
        <f t="shared" ref="H151" si="274">H53/H144</f>
        <v>5.1153197125424314E-2</v>
      </c>
      <c r="I151" s="11"/>
      <c r="M151" s="11">
        <f t="shared" ref="M151:W151" si="275">M53/M$144*4</f>
        <v>5.9957080385268043E-2</v>
      </c>
      <c r="N151" s="11">
        <f t="shared" si="275"/>
        <v>6.0556489071130287E-2</v>
      </c>
      <c r="O151" s="11">
        <f t="shared" si="275"/>
        <v>5.5005978685765337E-2</v>
      </c>
      <c r="P151" s="11">
        <f t="shared" si="275"/>
        <v>5.0196194809131206E-2</v>
      </c>
      <c r="Q151" s="11">
        <f t="shared" si="275"/>
        <v>4.638286883087632E-2</v>
      </c>
      <c r="R151" s="11">
        <f t="shared" si="275"/>
        <v>4.6971664588058258E-2</v>
      </c>
      <c r="S151" s="11">
        <f t="shared" si="275"/>
        <v>4.7026890366953372E-2</v>
      </c>
      <c r="T151" s="11">
        <f t="shared" si="275"/>
        <v>4.3976604348013419E-2</v>
      </c>
      <c r="U151" s="11">
        <f t="shared" si="275"/>
        <v>4.5577005939185747E-2</v>
      </c>
      <c r="V151" s="11">
        <f t="shared" si="275"/>
        <v>4.9531697645808746E-2</v>
      </c>
      <c r="W151" s="11">
        <f t="shared" si="275"/>
        <v>5.0726525476408754E-2</v>
      </c>
      <c r="X151" s="11">
        <f t="shared" ref="X151:Y151" si="276">X53/X$144*4</f>
        <v>5.5742202547551481E-2</v>
      </c>
      <c r="Y151" s="11">
        <f t="shared" si="276"/>
        <v>5.9382497140983946E-2</v>
      </c>
      <c r="Z151" s="11">
        <f t="shared" ref="Z151" si="277">Z53/Z$144*4</f>
        <v>5.966831399635604E-2</v>
      </c>
      <c r="AD151" s="112"/>
    </row>
    <row r="152" spans="1:30" x14ac:dyDescent="0.35">
      <c r="A152" s="2" t="s">
        <v>134</v>
      </c>
      <c r="B152" s="12">
        <f t="shared" ref="B152:G152" si="278">B147-B151</f>
        <v>4.032874508978275E-2</v>
      </c>
      <c r="C152" s="12">
        <f t="shared" si="278"/>
        <v>5.330387866944223E-2</v>
      </c>
      <c r="D152" s="12">
        <f t="shared" si="278"/>
        <v>5.409222174732764E-2</v>
      </c>
      <c r="E152" s="12">
        <f t="shared" si="278"/>
        <v>5.074864951226446E-2</v>
      </c>
      <c r="F152" s="12">
        <f t="shared" si="278"/>
        <v>4.7443896172940307E-2</v>
      </c>
      <c r="G152" s="12">
        <f t="shared" si="278"/>
        <v>5.4472334251145359E-2</v>
      </c>
      <c r="H152" s="12">
        <f t="shared" ref="H152" si="279">H147-H151</f>
        <v>6.3970340672708986E-2</v>
      </c>
      <c r="I152" s="12"/>
      <c r="M152" s="12">
        <f t="shared" ref="M152:T152" si="280">M147-M151</f>
        <v>5.331325997680459E-2</v>
      </c>
      <c r="N152" s="12">
        <f t="shared" si="280"/>
        <v>4.4816652899744916E-2</v>
      </c>
      <c r="O152" s="12">
        <f t="shared" si="280"/>
        <v>5.0761137662926302E-2</v>
      </c>
      <c r="P152" s="12">
        <f t="shared" si="280"/>
        <v>4.7968591926301277E-2</v>
      </c>
      <c r="Q152" s="12">
        <f t="shared" si="280"/>
        <v>4.9677696850954703E-2</v>
      </c>
      <c r="R152" s="12">
        <f t="shared" si="280"/>
        <v>5.3294890206155195E-2</v>
      </c>
      <c r="S152" s="12">
        <f>S147-S151</f>
        <v>5.7858257373643973E-2</v>
      </c>
      <c r="T152" s="12">
        <f t="shared" si="280"/>
        <v>6.3547383170476007E-2</v>
      </c>
      <c r="U152" s="12">
        <f t="shared" ref="U152:V152" si="281">U147-U151</f>
        <v>6.37138863953704E-2</v>
      </c>
      <c r="V152" s="12">
        <f t="shared" si="281"/>
        <v>6.4841380784618624E-2</v>
      </c>
      <c r="W152" s="12">
        <f t="shared" ref="W152:X152" si="282">W147-W151</f>
        <v>6.4460135093965573E-2</v>
      </c>
      <c r="X152" s="12">
        <f t="shared" si="282"/>
        <v>6.0883450276902645E-2</v>
      </c>
      <c r="Y152" s="12">
        <f t="shared" ref="Y152:Z152" si="283">Y147-Y151</f>
        <v>6.1407210944885722E-2</v>
      </c>
      <c r="Z152" s="12">
        <f t="shared" si="283"/>
        <v>6.0335867155899087E-2</v>
      </c>
      <c r="AD152" s="112"/>
    </row>
    <row r="153" spans="1:30" x14ac:dyDescent="0.35">
      <c r="A153" s="2" t="s">
        <v>194</v>
      </c>
      <c r="B153" s="12">
        <f t="shared" ref="B153:G153" si="284">B150-B151</f>
        <v>4.842028993753994E-2</v>
      </c>
      <c r="C153" s="12">
        <f t="shared" si="284"/>
        <v>5.9073027741195501E-2</v>
      </c>
      <c r="D153" s="12">
        <f t="shared" si="284"/>
        <v>7.598711337257967E-2</v>
      </c>
      <c r="E153" s="12">
        <f t="shared" si="284"/>
        <v>7.66394346612186E-2</v>
      </c>
      <c r="F153" s="12">
        <f t="shared" si="284"/>
        <v>6.8226428733409394E-2</v>
      </c>
      <c r="G153" s="12">
        <f t="shared" si="284"/>
        <v>7.9120728460932044E-2</v>
      </c>
      <c r="H153" s="12">
        <f t="shared" ref="H153" si="285">H150-H151</f>
        <v>8.3048208045762156E-2</v>
      </c>
      <c r="I153" s="12"/>
      <c r="M153" s="12">
        <f t="shared" ref="M153:T153" si="286">M150-M151</f>
        <v>8.9613570242771945E-2</v>
      </c>
      <c r="N153" s="12">
        <f t="shared" si="286"/>
        <v>5.6734989226766119E-2</v>
      </c>
      <c r="O153" s="12">
        <f t="shared" si="286"/>
        <v>5.9121466922681713E-2</v>
      </c>
      <c r="P153" s="12">
        <f t="shared" si="286"/>
        <v>7.7381965573111194E-2</v>
      </c>
      <c r="Q153" s="12">
        <f t="shared" si="286"/>
        <v>7.8431519259680421E-2</v>
      </c>
      <c r="R153" s="12">
        <f t="shared" si="286"/>
        <v>7.9943638171654091E-2</v>
      </c>
      <c r="S153" s="12">
        <f>S150-S151</f>
        <v>8.3985842879976041E-2</v>
      </c>
      <c r="T153" s="12">
        <f t="shared" si="286"/>
        <v>8.4109461452770706E-2</v>
      </c>
      <c r="U153" s="12">
        <f t="shared" ref="U153:V153" si="287">U150-U151</f>
        <v>8.207313415692781E-2</v>
      </c>
      <c r="V153" s="12">
        <f t="shared" si="287"/>
        <v>8.2787556926662287E-2</v>
      </c>
      <c r="W153" s="12">
        <f t="shared" ref="W153:X153" si="288">W150-W151</f>
        <v>8.0757641835150287E-2</v>
      </c>
      <c r="X153" s="12">
        <f t="shared" si="288"/>
        <v>8.3506746344969421E-2</v>
      </c>
      <c r="Y153" s="12">
        <f t="shared" ref="Y153:Z153" si="289">Y150-Y151</f>
        <v>8.5490766216303526E-2</v>
      </c>
      <c r="Z153" s="12">
        <f t="shared" si="289"/>
        <v>8.2419813754713203E-2</v>
      </c>
      <c r="AD153" s="112"/>
    </row>
    <row r="154" spans="1:30" x14ac:dyDescent="0.35">
      <c r="A154" s="1" t="s">
        <v>130</v>
      </c>
      <c r="B154" s="11">
        <f t="shared" ref="B154:G154" si="290">B56/B144</f>
        <v>3.3129938273361192E-2</v>
      </c>
      <c r="C154" s="11">
        <f t="shared" si="290"/>
        <v>3.6010025914439872E-2</v>
      </c>
      <c r="D154" s="11">
        <f t="shared" si="290"/>
        <v>3.8238196704093209E-2</v>
      </c>
      <c r="E154" s="11">
        <f t="shared" si="290"/>
        <v>3.5095488142294157E-2</v>
      </c>
      <c r="F154" s="11">
        <f t="shared" si="290"/>
        <v>2.6627322610083857E-2</v>
      </c>
      <c r="G154" s="11">
        <f t="shared" si="290"/>
        <v>2.6915123333371423E-2</v>
      </c>
      <c r="H154" s="11">
        <f t="shared" ref="H154" si="291">H56/H144</f>
        <v>2.9620024870167069E-2</v>
      </c>
      <c r="I154" s="11"/>
      <c r="M154" s="11">
        <f t="shared" ref="M154:W154" si="292">M56/M144*4</f>
        <v>2.5847603887002683E-2</v>
      </c>
      <c r="N154" s="11">
        <f t="shared" si="292"/>
        <v>2.4909279803588914E-2</v>
      </c>
      <c r="O154" s="11">
        <f t="shared" si="292"/>
        <v>2.953382808186893E-2</v>
      </c>
      <c r="P154" s="11">
        <f t="shared" si="292"/>
        <v>2.9619041872501202E-2</v>
      </c>
      <c r="Q154" s="11">
        <f t="shared" si="292"/>
        <v>2.5025904517987814E-2</v>
      </c>
      <c r="R154" s="11">
        <f t="shared" si="292"/>
        <v>2.8146171175059218E-2</v>
      </c>
      <c r="S154" s="11">
        <f t="shared" si="292"/>
        <v>2.7750304259766281E-2</v>
      </c>
      <c r="T154" s="11">
        <f t="shared" si="292"/>
        <v>3.0035224775921607E-2</v>
      </c>
      <c r="U154" s="11">
        <f t="shared" si="292"/>
        <v>2.9374344146006374E-2</v>
      </c>
      <c r="V154" s="11">
        <f t="shared" si="292"/>
        <v>3.0993113960908085E-2</v>
      </c>
      <c r="W154" s="11">
        <f t="shared" si="292"/>
        <v>2.8475378383526189E-2</v>
      </c>
      <c r="X154" s="11">
        <f t="shared" ref="X154:Y154" si="293">X56/X144*4</f>
        <v>2.8747039850614851E-2</v>
      </c>
      <c r="Y154" s="11">
        <f t="shared" si="293"/>
        <v>3.1002489140548442E-2</v>
      </c>
      <c r="Z154" s="11">
        <f t="shared" ref="Z154" si="294">Z56/Z144*4</f>
        <v>2.9036517866886522E-2</v>
      </c>
      <c r="AD154" s="112"/>
    </row>
    <row r="155" spans="1:30" s="2" customFormat="1" x14ac:dyDescent="0.35">
      <c r="A155" s="2" t="s">
        <v>214</v>
      </c>
      <c r="B155" s="12">
        <f t="shared" ref="B155:G155" si="295">B61/B144</f>
        <v>1.5290351664178754E-2</v>
      </c>
      <c r="C155" s="12">
        <f t="shared" si="295"/>
        <v>2.3063001826755622E-2</v>
      </c>
      <c r="D155" s="12">
        <f t="shared" si="295"/>
        <v>3.7748916668486468E-2</v>
      </c>
      <c r="E155" s="12">
        <f t="shared" si="295"/>
        <v>4.1543946518924443E-2</v>
      </c>
      <c r="F155" s="12">
        <f t="shared" si="295"/>
        <v>4.1599106123325534E-2</v>
      </c>
      <c r="G155" s="12">
        <f t="shared" si="295"/>
        <v>5.2205605127560631E-2</v>
      </c>
      <c r="H155" s="12">
        <f t="shared" ref="H155" si="296">H61/H144</f>
        <v>5.3428183175595098E-2</v>
      </c>
      <c r="I155" s="12"/>
      <c r="M155" s="12">
        <f t="shared" ref="M155:W155" si="297">M61/M144*4</f>
        <v>6.3765966355769241E-2</v>
      </c>
      <c r="N155" s="12">
        <f t="shared" si="297"/>
        <v>3.1825709423177202E-2</v>
      </c>
      <c r="O155" s="12">
        <f t="shared" si="297"/>
        <v>2.958763884081278E-2</v>
      </c>
      <c r="P155" s="12">
        <f t="shared" si="297"/>
        <v>4.7762923700609985E-2</v>
      </c>
      <c r="Q155" s="12">
        <f t="shared" si="297"/>
        <v>5.34056147416926E-2</v>
      </c>
      <c r="R155" s="12">
        <f t="shared" si="297"/>
        <v>5.1797466996594869E-2</v>
      </c>
      <c r="S155" s="12">
        <f t="shared" si="297"/>
        <v>5.6235538620209767E-2</v>
      </c>
      <c r="T155" s="12">
        <f t="shared" si="297"/>
        <v>5.4074236676849109E-2</v>
      </c>
      <c r="U155" s="12">
        <f t="shared" si="297"/>
        <v>5.2698790010921433E-2</v>
      </c>
      <c r="V155" s="12">
        <f t="shared" si="297"/>
        <v>5.1794442965754209E-2</v>
      </c>
      <c r="W155" s="12">
        <f t="shared" si="297"/>
        <v>5.2282263451624074E-2</v>
      </c>
      <c r="X155" s="12">
        <f t="shared" ref="X155:Y155" si="298">X61/X144*4</f>
        <v>5.4759706494354556E-2</v>
      </c>
      <c r="Y155" s="12">
        <f t="shared" si="298"/>
        <v>5.4488277075755091E-2</v>
      </c>
      <c r="Z155" s="12">
        <f t="shared" ref="Z155" si="299">Z61/Z144*4</f>
        <v>5.3383295887826664E-2</v>
      </c>
      <c r="AA155" s="70"/>
      <c r="AB155" s="70"/>
      <c r="AC155" s="70"/>
      <c r="AD155" s="112"/>
    </row>
    <row r="156" spans="1:30" x14ac:dyDescent="0.35">
      <c r="A156" s="1" t="s">
        <v>89</v>
      </c>
      <c r="B156" s="11">
        <f t="shared" ref="B156:G156" si="300">B62/B$144</f>
        <v>2.1964390374361979E-3</v>
      </c>
      <c r="C156" s="11">
        <f t="shared" si="300"/>
        <v>2.4419049237435742E-3</v>
      </c>
      <c r="D156" s="11">
        <f t="shared" si="300"/>
        <v>3.8024494159317065E-3</v>
      </c>
      <c r="E156" s="11">
        <f t="shared" si="300"/>
        <v>5.5366432758249071E-3</v>
      </c>
      <c r="F156" s="11">
        <f t="shared" si="300"/>
        <v>8.0479437482447614E-3</v>
      </c>
      <c r="G156" s="11">
        <f t="shared" si="300"/>
        <v>5.1977727392170945E-3</v>
      </c>
      <c r="H156" s="11">
        <f t="shared" ref="H156" si="301">H62/H$144</f>
        <v>3.6304978688979192E-3</v>
      </c>
      <c r="I156" s="11"/>
      <c r="M156" s="11">
        <f t="shared" ref="M156:W156" si="302">M62/M$144*4</f>
        <v>4.9711645156248745E-3</v>
      </c>
      <c r="N156" s="11">
        <f t="shared" si="302"/>
        <v>1.288422176018067E-2</v>
      </c>
      <c r="O156" s="11">
        <f t="shared" si="302"/>
        <v>7.6514759928990482E-3</v>
      </c>
      <c r="P156" s="11">
        <f t="shared" si="302"/>
        <v>7.8379315599066222E-3</v>
      </c>
      <c r="Q156" s="11">
        <f t="shared" si="302"/>
        <v>1.148040262833616E-2</v>
      </c>
      <c r="R156" s="11">
        <f t="shared" si="302"/>
        <v>2.8897488504682012E-3</v>
      </c>
      <c r="S156" s="11">
        <f t="shared" si="302"/>
        <v>5.1557376040458304E-3</v>
      </c>
      <c r="T156" s="11">
        <f t="shared" si="302"/>
        <v>2.2017023598753494E-3</v>
      </c>
      <c r="U156" s="11">
        <f t="shared" si="302"/>
        <v>2.72494172516136E-3</v>
      </c>
      <c r="V156" s="11">
        <f t="shared" si="302"/>
        <v>3.4706140010772315E-3</v>
      </c>
      <c r="W156" s="11">
        <f t="shared" si="302"/>
        <v>3.8285739233815032E-3</v>
      </c>
      <c r="X156" s="11">
        <f t="shared" ref="X156:Y156" si="303">X62/X$144*4</f>
        <v>4.1870465992550135E-3</v>
      </c>
      <c r="Y156" s="11">
        <f t="shared" si="303"/>
        <v>4.2858579721258916E-3</v>
      </c>
      <c r="Z156" s="11">
        <f t="shared" ref="Z156" si="304">Z62/Z$144*4</f>
        <v>4.0876130297585068E-3</v>
      </c>
      <c r="AD156" s="112"/>
    </row>
    <row r="157" spans="1:30" s="2" customFormat="1" x14ac:dyDescent="0.35">
      <c r="A157" s="2" t="s">
        <v>135</v>
      </c>
      <c r="B157" s="12">
        <f t="shared" ref="B157:G157" si="305">B155-B156</f>
        <v>1.3093912626742556E-2</v>
      </c>
      <c r="C157" s="12">
        <f t="shared" si="305"/>
        <v>2.0621096903012049E-2</v>
      </c>
      <c r="D157" s="12">
        <f t="shared" si="305"/>
        <v>3.3946467252554763E-2</v>
      </c>
      <c r="E157" s="12">
        <f t="shared" si="305"/>
        <v>3.6007303243099538E-2</v>
      </c>
      <c r="F157" s="12">
        <f t="shared" si="305"/>
        <v>3.3551162375080774E-2</v>
      </c>
      <c r="G157" s="12">
        <f t="shared" si="305"/>
        <v>4.7007832388343537E-2</v>
      </c>
      <c r="H157" s="12">
        <f t="shared" ref="H157" si="306">H155-H156</f>
        <v>4.9797685306697176E-2</v>
      </c>
      <c r="I157" s="12"/>
      <c r="M157" s="12">
        <f>M155-M156</f>
        <v>5.8794801840144365E-2</v>
      </c>
      <c r="N157" s="12">
        <f t="shared" ref="N157:T157" si="307">N155-N156</f>
        <v>1.8941487662996533E-2</v>
      </c>
      <c r="O157" s="12">
        <f t="shared" si="307"/>
        <v>2.1936162847913731E-2</v>
      </c>
      <c r="P157" s="12">
        <f t="shared" si="307"/>
        <v>3.9924992140703365E-2</v>
      </c>
      <c r="Q157" s="12">
        <f t="shared" si="307"/>
        <v>4.1925212113356439E-2</v>
      </c>
      <c r="R157" s="12">
        <f t="shared" si="307"/>
        <v>4.8907718146126669E-2</v>
      </c>
      <c r="S157" s="12">
        <f>S155-S156</f>
        <v>5.1079801016163939E-2</v>
      </c>
      <c r="T157" s="12">
        <f t="shared" si="307"/>
        <v>5.1872534316973758E-2</v>
      </c>
      <c r="U157" s="12">
        <f t="shared" ref="U157:V157" si="308">U155-U156</f>
        <v>4.997384828576007E-2</v>
      </c>
      <c r="V157" s="12">
        <f t="shared" si="308"/>
        <v>4.8323828964676976E-2</v>
      </c>
      <c r="W157" s="12">
        <f t="shared" ref="W157:X157" si="309">W155-W156</f>
        <v>4.8453689528242569E-2</v>
      </c>
      <c r="X157" s="12">
        <f t="shared" si="309"/>
        <v>5.0572659895099542E-2</v>
      </c>
      <c r="Y157" s="12">
        <f t="shared" ref="Y157:Z157" si="310">Y155-Y156</f>
        <v>5.0202419103629201E-2</v>
      </c>
      <c r="Z157" s="12">
        <f t="shared" si="310"/>
        <v>4.9295682858068159E-2</v>
      </c>
      <c r="AA157" s="70"/>
      <c r="AB157" s="70"/>
      <c r="AC157" s="70"/>
      <c r="AD157" s="112"/>
    </row>
    <row r="158" spans="1:30" x14ac:dyDescent="0.35">
      <c r="A158" s="1" t="s">
        <v>136</v>
      </c>
      <c r="B158" s="11">
        <f t="shared" ref="B158:G159" si="311">B64/B$144</f>
        <v>4.652100874339535E-3</v>
      </c>
      <c r="C158" s="11">
        <f t="shared" si="311"/>
        <v>7.0300352606312922E-3</v>
      </c>
      <c r="D158" s="11">
        <f t="shared" si="311"/>
        <v>1.017192915682647E-2</v>
      </c>
      <c r="E158" s="11">
        <f t="shared" si="311"/>
        <v>9.3197701675770579E-3</v>
      </c>
      <c r="F158" s="11">
        <f t="shared" si="311"/>
        <v>8.4854707495177952E-3</v>
      </c>
      <c r="G158" s="11">
        <f t="shared" si="311"/>
        <v>1.0845484562166274E-2</v>
      </c>
      <c r="H158" s="11">
        <f t="shared" ref="H158" si="312">H64/H$144</f>
        <v>1.1289409532574452E-2</v>
      </c>
      <c r="I158" s="11"/>
      <c r="M158" s="11">
        <f t="shared" ref="M158:W158" si="313">M64/M$144*4</f>
        <v>1.5764865367080272E-2</v>
      </c>
      <c r="N158" s="11">
        <f t="shared" si="313"/>
        <v>3.4894767267155988E-3</v>
      </c>
      <c r="O158" s="11">
        <f t="shared" si="313"/>
        <v>5.4731750779609236E-3</v>
      </c>
      <c r="P158" s="11">
        <f t="shared" si="313"/>
        <v>1.0544487845031338E-2</v>
      </c>
      <c r="Q158" s="11">
        <f t="shared" si="313"/>
        <v>1.1022665366663503E-2</v>
      </c>
      <c r="R158" s="11">
        <f t="shared" si="313"/>
        <v>1.1474743631961343E-2</v>
      </c>
      <c r="S158" s="11">
        <f t="shared" si="313"/>
        <v>1.1408256909454843E-2</v>
      </c>
      <c r="T158" s="11">
        <f t="shared" si="313"/>
        <v>1.2339544683356553E-2</v>
      </c>
      <c r="U158" s="11">
        <f t="shared" si="313"/>
        <v>1.1344501511391002E-2</v>
      </c>
      <c r="V158" s="11">
        <f t="shared" si="313"/>
        <v>1.0408349034229001E-2</v>
      </c>
      <c r="W158" s="11">
        <f t="shared" si="313"/>
        <v>1.0876092538902642E-2</v>
      </c>
      <c r="X158" s="11">
        <f t="shared" ref="X158:Y158" si="314">X64/X$144*4</f>
        <v>1.2026546357054985E-2</v>
      </c>
      <c r="Y158" s="11">
        <f t="shared" si="314"/>
        <v>1.1658693531252685E-2</v>
      </c>
      <c r="Z158" s="11">
        <f t="shared" ref="Z158" si="315">Z64/Z$144*4</f>
        <v>1.1313645967322096E-2</v>
      </c>
      <c r="AD158" s="112"/>
    </row>
    <row r="159" spans="1:30" x14ac:dyDescent="0.35">
      <c r="A159" s="1" t="s">
        <v>205</v>
      </c>
      <c r="B159" s="23">
        <f t="shared" si="311"/>
        <v>0</v>
      </c>
      <c r="C159" s="23">
        <f t="shared" si="311"/>
        <v>0</v>
      </c>
      <c r="D159" s="23">
        <f t="shared" si="311"/>
        <v>0</v>
      </c>
      <c r="E159" s="23">
        <f t="shared" si="311"/>
        <v>0</v>
      </c>
      <c r="F159" s="23">
        <f t="shared" si="311"/>
        <v>0</v>
      </c>
      <c r="G159" s="23">
        <f t="shared" si="311"/>
        <v>-2.4954377714097573E-3</v>
      </c>
      <c r="H159" s="23">
        <f t="shared" ref="H159" si="316">H65/H$144</f>
        <v>0</v>
      </c>
      <c r="I159" s="23"/>
      <c r="M159" s="23">
        <f t="shared" ref="M159:W159" si="317">M65/M$144*4</f>
        <v>0</v>
      </c>
      <c r="N159" s="23">
        <f t="shared" si="317"/>
        <v>0</v>
      </c>
      <c r="O159" s="23">
        <f t="shared" si="317"/>
        <v>0</v>
      </c>
      <c r="P159" s="23">
        <f t="shared" si="317"/>
        <v>0</v>
      </c>
      <c r="Q159" s="23">
        <f t="shared" si="317"/>
        <v>0</v>
      </c>
      <c r="R159" s="23">
        <f t="shared" si="317"/>
        <v>-1.537377657147194E-3</v>
      </c>
      <c r="S159" s="23">
        <f t="shared" si="317"/>
        <v>0</v>
      </c>
      <c r="T159" s="23">
        <f t="shared" si="317"/>
        <v>-9.858013585233907E-3</v>
      </c>
      <c r="U159" s="23">
        <f t="shared" si="317"/>
        <v>0</v>
      </c>
      <c r="V159" s="23">
        <f t="shared" si="317"/>
        <v>0</v>
      </c>
      <c r="W159" s="23">
        <f t="shared" si="317"/>
        <v>0</v>
      </c>
      <c r="X159" s="23">
        <f t="shared" ref="X159:Y159" si="318">X65/X$144*4</f>
        <v>0</v>
      </c>
      <c r="Y159" s="23">
        <f t="shared" si="318"/>
        <v>0</v>
      </c>
      <c r="Z159" s="23">
        <f t="shared" ref="Z159" si="319">Z65/Z$144*4</f>
        <v>0</v>
      </c>
      <c r="AD159" s="112"/>
    </row>
    <row r="160" spans="1:30" x14ac:dyDescent="0.35">
      <c r="A160" s="2" t="s">
        <v>127</v>
      </c>
      <c r="B160" s="54">
        <f t="shared" ref="B160:G160" si="320">B157-B158-B159</f>
        <v>8.4418117524030223E-3</v>
      </c>
      <c r="C160" s="54">
        <f t="shared" si="320"/>
        <v>1.3591061642380758E-2</v>
      </c>
      <c r="D160" s="54">
        <f t="shared" si="320"/>
        <v>2.3774538095728291E-2</v>
      </c>
      <c r="E160" s="54">
        <f t="shared" si="320"/>
        <v>2.668753307552248E-2</v>
      </c>
      <c r="F160" s="54">
        <f t="shared" si="320"/>
        <v>2.5065691625562977E-2</v>
      </c>
      <c r="G160" s="54">
        <f t="shared" si="320"/>
        <v>3.8657785597587022E-2</v>
      </c>
      <c r="H160" s="54">
        <f t="shared" ref="H160" si="321">H157-H158-H159</f>
        <v>3.8508275774122726E-2</v>
      </c>
      <c r="I160" s="54"/>
      <c r="M160" s="54">
        <f t="shared" ref="M160:T160" si="322">M157-M158-M159</f>
        <v>4.3029936473064093E-2</v>
      </c>
      <c r="N160" s="54">
        <f t="shared" si="322"/>
        <v>1.5452010936280933E-2</v>
      </c>
      <c r="O160" s="54">
        <f t="shared" si="322"/>
        <v>1.6462987769952808E-2</v>
      </c>
      <c r="P160" s="54">
        <f t="shared" si="322"/>
        <v>2.9380504295672027E-2</v>
      </c>
      <c r="Q160" s="54">
        <f t="shared" si="322"/>
        <v>3.0902546746692936E-2</v>
      </c>
      <c r="R160" s="54">
        <f t="shared" si="322"/>
        <v>3.8970352171312526E-2</v>
      </c>
      <c r="S160" s="54">
        <f>S157-S158-S159</f>
        <v>3.9671544106709096E-2</v>
      </c>
      <c r="T160" s="54">
        <f t="shared" si="322"/>
        <v>4.9391003218851114E-2</v>
      </c>
      <c r="U160" s="54">
        <f t="shared" ref="U160" si="323">U157-U158-U159</f>
        <v>3.8629346774369064E-2</v>
      </c>
      <c r="V160" s="54">
        <f>V157-V158-V159</f>
        <v>3.7915479930447978E-2</v>
      </c>
      <c r="W160" s="54">
        <f>W157-W158-W159</f>
        <v>3.7577596989339927E-2</v>
      </c>
      <c r="X160" s="54">
        <f>X157-X158-X159</f>
        <v>3.854611353804456E-2</v>
      </c>
      <c r="Y160" s="54">
        <f>Y157-Y158-Y159</f>
        <v>3.8543725572376515E-2</v>
      </c>
      <c r="Z160" s="54">
        <f>Z157-Z158-Z159</f>
        <v>3.7982036890746064E-2</v>
      </c>
      <c r="AA160" s="79"/>
      <c r="AD160" s="112"/>
    </row>
    <row r="161" spans="1:30" x14ac:dyDescent="0.35">
      <c r="A161" s="1" t="s">
        <v>90</v>
      </c>
      <c r="B161" s="19">
        <f t="shared" ref="B161:G161" si="324">B144/B146</f>
        <v>3.4367952960707155</v>
      </c>
      <c r="C161" s="19">
        <f t="shared" si="324"/>
        <v>3.7270434296589627</v>
      </c>
      <c r="D161" s="19">
        <f t="shared" si="324"/>
        <v>4.5365926149578488</v>
      </c>
      <c r="E161" s="19">
        <f t="shared" si="324"/>
        <v>4.0943535654119563</v>
      </c>
      <c r="F161" s="19">
        <f t="shared" si="324"/>
        <v>3.4530989827435015</v>
      </c>
      <c r="G161" s="19">
        <f t="shared" si="324"/>
        <v>3.2590477106032436</v>
      </c>
      <c r="H161" s="19">
        <f t="shared" ref="H161" si="325">H144/H146</f>
        <v>3.496517865989742</v>
      </c>
      <c r="I161" s="19"/>
      <c r="M161" s="19">
        <f t="shared" ref="M161:T161" si="326">M144/M146</f>
        <v>3.7664052900692631</v>
      </c>
      <c r="N161" s="19">
        <f t="shared" si="326"/>
        <v>3.7851312677527571</v>
      </c>
      <c r="O161" s="19">
        <f t="shared" si="326"/>
        <v>3.7166770270991414</v>
      </c>
      <c r="P161" s="19">
        <f t="shared" si="326"/>
        <v>3.4451930500603205</v>
      </c>
      <c r="Q161" s="19">
        <f t="shared" si="326"/>
        <v>3.2483237764434785</v>
      </c>
      <c r="R161" s="19">
        <f t="shared" si="326"/>
        <v>3.1981397606626776</v>
      </c>
      <c r="S161" s="19">
        <f>S144/S146</f>
        <v>3.1161666518653668</v>
      </c>
      <c r="T161" s="19">
        <f t="shared" si="326"/>
        <v>3.1613942820155851</v>
      </c>
      <c r="U161" s="19">
        <f t="shared" ref="U161:V161" si="327">U144/U146</f>
        <v>3.3149210115173449</v>
      </c>
      <c r="V161" s="19">
        <f t="shared" si="327"/>
        <v>3.4559944953131696</v>
      </c>
      <c r="W161" s="19">
        <f t="shared" ref="W161:X161" si="328">W144/W146</f>
        <v>3.6418601441081391</v>
      </c>
      <c r="X161" s="19">
        <f t="shared" si="328"/>
        <v>3.7268190064753632</v>
      </c>
      <c r="Y161" s="19">
        <f t="shared" ref="Y161:Z161" si="329">Y144/Y146</f>
        <v>3.8929466197018381</v>
      </c>
      <c r="Z161" s="19">
        <f t="shared" si="329"/>
        <v>4.1028577839853364</v>
      </c>
      <c r="AD161" s="124"/>
    </row>
    <row r="162" spans="1:30" s="2" customFormat="1" x14ac:dyDescent="0.35">
      <c r="A162" s="2" t="s">
        <v>128</v>
      </c>
      <c r="B162" s="13">
        <f t="shared" ref="B162:G162" si="330">B160*B161</f>
        <v>2.901277892097319E-2</v>
      </c>
      <c r="C162" s="13">
        <f t="shared" si="330"/>
        <v>5.0654476996325151E-2</v>
      </c>
      <c r="D162" s="13">
        <f t="shared" si="330"/>
        <v>0.107855393949115</v>
      </c>
      <c r="E162" s="13">
        <f t="shared" si="330"/>
        <v>0.10926819619981498</v>
      </c>
      <c r="F162" s="13">
        <f t="shared" si="330"/>
        <v>8.6554314253993819E-2</v>
      </c>
      <c r="G162" s="13">
        <f t="shared" si="330"/>
        <v>0.12598756764880703</v>
      </c>
      <c r="H162" s="13">
        <f t="shared" ref="H162" si="331">H160*H161</f>
        <v>0.13464487423268007</v>
      </c>
      <c r="I162" s="13"/>
      <c r="M162" s="13">
        <f t="shared" ref="M162:T162" si="332">M160*M161</f>
        <v>0.16206818036349294</v>
      </c>
      <c r="N162" s="13">
        <f t="shared" si="332"/>
        <v>5.8487889744574514E-2</v>
      </c>
      <c r="O162" s="12">
        <f t="shared" si="332"/>
        <v>6.1187608441997728E-2</v>
      </c>
      <c r="P162" s="13">
        <f t="shared" si="332"/>
        <v>0.10122150920671666</v>
      </c>
      <c r="Q162" s="13">
        <f t="shared" si="332"/>
        <v>0.10038147734993873</v>
      </c>
      <c r="R162" s="12">
        <f t="shared" si="332"/>
        <v>0.1246326327661017</v>
      </c>
      <c r="S162" s="12">
        <f>S160*S161</f>
        <v>0.1236231427733329</v>
      </c>
      <c r="T162" s="12">
        <f t="shared" si="332"/>
        <v>0.15614443515908927</v>
      </c>
      <c r="U162" s="12">
        <f t="shared" ref="U162:V162" si="333">U160*U161</f>
        <v>0.12805323328354579</v>
      </c>
      <c r="V162" s="12">
        <f t="shared" si="333"/>
        <v>0.13103568992678516</v>
      </c>
      <c r="W162" s="12">
        <f t="shared" ref="W162" si="334">W160*W161</f>
        <v>0.13685235278683508</v>
      </c>
      <c r="X162" s="12">
        <f>X160*X161</f>
        <v>0.14365438855934179</v>
      </c>
      <c r="Y162" s="12">
        <f>Y160*Y161</f>
        <v>0.15004866617769844</v>
      </c>
      <c r="Z162" s="12">
        <f>Z160*Z161</f>
        <v>0.1558348957088157</v>
      </c>
      <c r="AA162" s="120"/>
      <c r="AB162" s="70"/>
      <c r="AC162" s="70"/>
      <c r="AD162" s="122"/>
    </row>
    <row r="163" spans="1:30" s="2" customFormat="1" x14ac:dyDescent="0.35">
      <c r="A163" s="2" t="s">
        <v>212</v>
      </c>
      <c r="B163" s="13"/>
      <c r="C163" s="13"/>
      <c r="D163" s="13"/>
      <c r="E163" s="13"/>
      <c r="F163" s="13">
        <f>F70/F144</f>
        <v>2.5065691625562981E-2</v>
      </c>
      <c r="G163" s="13">
        <f>G70/G144</f>
        <v>3.616234782617727E-2</v>
      </c>
      <c r="H163" s="13">
        <f>H70/H144</f>
        <v>3.8508275774122726E-2</v>
      </c>
      <c r="I163" s="13"/>
      <c r="M163" s="13"/>
      <c r="N163" s="13"/>
      <c r="O163" s="34"/>
      <c r="P163" s="13"/>
      <c r="Q163" s="13"/>
      <c r="R163" s="13">
        <f>R70/R144*4</f>
        <v>3.7432974514165329E-2</v>
      </c>
      <c r="S163" s="34"/>
      <c r="T163" s="13">
        <f t="shared" ref="T163:Y163" si="335">T70/T144*4</f>
        <v>3.9532989633617205E-2</v>
      </c>
      <c r="U163" s="13">
        <f t="shared" si="335"/>
        <v>3.8629346774369071E-2</v>
      </c>
      <c r="V163" s="13">
        <f t="shared" si="335"/>
        <v>3.7915479930447984E-2</v>
      </c>
      <c r="W163" s="13">
        <f t="shared" si="335"/>
        <v>3.7577596989339927E-2</v>
      </c>
      <c r="X163" s="13">
        <f t="shared" si="335"/>
        <v>3.8546113538044553E-2</v>
      </c>
      <c r="Y163" s="13">
        <f t="shared" si="335"/>
        <v>3.8543725572376515E-2</v>
      </c>
      <c r="Z163" s="13">
        <f t="shared" ref="Z163" si="336">Z70/Z144*4</f>
        <v>3.7982036890746057E-2</v>
      </c>
      <c r="AA163" s="70"/>
      <c r="AB163" s="70"/>
      <c r="AC163" s="70"/>
      <c r="AD163" s="1"/>
    </row>
    <row r="164" spans="1:30" s="2" customFormat="1" x14ac:dyDescent="0.35">
      <c r="A164" s="2" t="s">
        <v>213</v>
      </c>
      <c r="B164" s="13"/>
      <c r="C164" s="13"/>
      <c r="D164" s="13"/>
      <c r="E164" s="13"/>
      <c r="F164" s="13">
        <f>F70/F146</f>
        <v>8.6554314253993833E-2</v>
      </c>
      <c r="G164" s="13">
        <f>G70/G146</f>
        <v>0.11785481689294121</v>
      </c>
      <c r="H164" s="13">
        <f>H70/H146</f>
        <v>0.1346448742326801</v>
      </c>
      <c r="I164" s="13"/>
      <c r="M164" s="13"/>
      <c r="N164" s="13"/>
      <c r="O164" s="34"/>
      <c r="P164" s="13"/>
      <c r="Q164" s="13"/>
      <c r="R164" s="13">
        <f>R70/R146*4</f>
        <v>0.1197158841536248</v>
      </c>
      <c r="S164" s="34"/>
      <c r="T164" s="13">
        <f t="shared" ref="T164:Y164" si="337">T70/T146*4</f>
        <v>0.12497936737869883</v>
      </c>
      <c r="U164" s="13">
        <f t="shared" si="337"/>
        <v>0.12805323328354581</v>
      </c>
      <c r="V164" s="13">
        <f t="shared" si="337"/>
        <v>0.13103568992678519</v>
      </c>
      <c r="W164" s="13">
        <f t="shared" si="337"/>
        <v>0.13685235278683508</v>
      </c>
      <c r="X164" s="13">
        <f t="shared" si="337"/>
        <v>0.14365438855934176</v>
      </c>
      <c r="Y164" s="13">
        <f t="shared" si="337"/>
        <v>0.15004866617769844</v>
      </c>
      <c r="Z164" s="13">
        <f t="shared" ref="Z164" si="338">Z70/Z146*4</f>
        <v>0.15583489570881565</v>
      </c>
      <c r="AA164" s="70"/>
      <c r="AB164" s="70"/>
      <c r="AC164" s="70"/>
      <c r="AD164" s="1"/>
    </row>
    <row r="165" spans="1:30" x14ac:dyDescent="0.35">
      <c r="T165" s="7"/>
      <c r="U165" s="7"/>
      <c r="V165" s="7"/>
      <c r="W165" s="7"/>
      <c r="X165" s="7"/>
      <c r="Y165" s="7"/>
      <c r="Z165" s="7"/>
    </row>
    <row r="166" spans="1:30" s="5" customFormat="1" x14ac:dyDescent="0.35">
      <c r="A166" s="5" t="s">
        <v>143</v>
      </c>
      <c r="B166" s="22" t="str">
        <f t="shared" ref="B166:H166" si="339">B$1</f>
        <v>FY17</v>
      </c>
      <c r="C166" s="22" t="str">
        <f t="shared" si="339"/>
        <v>FY18</v>
      </c>
      <c r="D166" s="22" t="str">
        <f t="shared" si="339"/>
        <v>FY19</v>
      </c>
      <c r="E166" s="22" t="str">
        <f t="shared" si="339"/>
        <v>FY20</v>
      </c>
      <c r="F166" s="22" t="str">
        <f t="shared" si="339"/>
        <v>FY21</v>
      </c>
      <c r="G166" s="22" t="str">
        <f t="shared" si="339"/>
        <v>FY22</v>
      </c>
      <c r="H166" s="22" t="str">
        <f t="shared" si="339"/>
        <v>FY23</v>
      </c>
      <c r="I166" s="22"/>
      <c r="M166" s="6" t="str">
        <f t="shared" ref="M166:AB166" si="340">M$1</f>
        <v>Q1FY21</v>
      </c>
      <c r="N166" s="6" t="str">
        <f t="shared" si="340"/>
        <v>Q2FY21</v>
      </c>
      <c r="O166" s="80" t="str">
        <f t="shared" si="340"/>
        <v>Q3FY21</v>
      </c>
      <c r="P166" s="6" t="str">
        <f t="shared" si="340"/>
        <v>Q4FY21</v>
      </c>
      <c r="Q166" s="6" t="str">
        <f t="shared" si="340"/>
        <v>Q1FY22</v>
      </c>
      <c r="R166" s="80" t="str">
        <f t="shared" si="340"/>
        <v>Q2FY22</v>
      </c>
      <c r="S166" s="80" t="str">
        <f t="shared" si="340"/>
        <v>Q3FY22</v>
      </c>
      <c r="T166" s="80" t="str">
        <f t="shared" si="340"/>
        <v>Q4FY22</v>
      </c>
      <c r="U166" s="80" t="str">
        <f t="shared" si="340"/>
        <v>Q1FY23</v>
      </c>
      <c r="V166" s="80" t="str">
        <f t="shared" si="340"/>
        <v>Q2FY23</v>
      </c>
      <c r="W166" s="80" t="str">
        <f t="shared" si="340"/>
        <v>Q3FY23</v>
      </c>
      <c r="X166" s="80" t="str">
        <f t="shared" si="340"/>
        <v>Q4FY23</v>
      </c>
      <c r="Y166" s="80" t="str">
        <f t="shared" si="340"/>
        <v>Q1FY24</v>
      </c>
      <c r="Z166" s="80" t="str">
        <f t="shared" si="340"/>
        <v>Q2FY24</v>
      </c>
      <c r="AA166" s="6" t="str">
        <f t="shared" si="340"/>
        <v>y-o-y</v>
      </c>
      <c r="AB166" s="6" t="str">
        <f t="shared" si="340"/>
        <v>q-o-q</v>
      </c>
      <c r="AC166" s="6"/>
    </row>
    <row r="167" spans="1:30" s="2" customFormat="1" x14ac:dyDescent="0.35">
      <c r="A167" s="2" t="s">
        <v>98</v>
      </c>
      <c r="B167" s="4" t="str">
        <f t="shared" ref="B167:H167" si="341">B1</f>
        <v>FY17</v>
      </c>
      <c r="C167" s="4" t="str">
        <f t="shared" si="341"/>
        <v>FY18</v>
      </c>
      <c r="D167" s="4" t="str">
        <f t="shared" si="341"/>
        <v>FY19</v>
      </c>
      <c r="E167" s="4" t="str">
        <f t="shared" si="341"/>
        <v>FY20</v>
      </c>
      <c r="F167" s="4" t="str">
        <f t="shared" si="341"/>
        <v>FY21</v>
      </c>
      <c r="G167" s="4" t="str">
        <f t="shared" si="341"/>
        <v>FY22</v>
      </c>
      <c r="H167" s="4" t="str">
        <f t="shared" si="341"/>
        <v>FY23</v>
      </c>
      <c r="I167" s="4"/>
      <c r="M167" s="4"/>
      <c r="N167" s="4"/>
      <c r="O167" s="34"/>
      <c r="P167" s="4"/>
      <c r="Q167" s="4"/>
      <c r="R167" s="34"/>
      <c r="S167" s="34"/>
      <c r="T167" s="34"/>
      <c r="U167" s="34"/>
      <c r="V167" s="34"/>
      <c r="W167" s="34"/>
      <c r="X167" s="34"/>
      <c r="Y167" s="34"/>
      <c r="Z167" s="34"/>
      <c r="AA167" s="70"/>
      <c r="AB167" s="70"/>
      <c r="AC167" s="70"/>
    </row>
    <row r="168" spans="1:30" x14ac:dyDescent="0.35">
      <c r="A168" s="1" t="s">
        <v>0</v>
      </c>
      <c r="B168" s="26">
        <v>8196.7800000000007</v>
      </c>
      <c r="C168" s="26">
        <v>13022.14</v>
      </c>
      <c r="D168" s="26">
        <v>22486.95</v>
      </c>
      <c r="E168" s="26">
        <v>33230.639999999999</v>
      </c>
      <c r="F168" s="26">
        <v>38258.51</v>
      </c>
      <c r="G168" s="26">
        <v>48843.519999999997</v>
      </c>
      <c r="H168" s="26">
        <f>X168</f>
        <v>62903.83</v>
      </c>
      <c r="I168" s="30"/>
      <c r="M168" s="26">
        <v>33308.239999999998</v>
      </c>
      <c r="N168" s="26">
        <v>34348.949999999997</v>
      </c>
      <c r="O168" s="26">
        <v>36408.730000000003</v>
      </c>
      <c r="P168" s="26">
        <f>F168</f>
        <v>38258.51</v>
      </c>
      <c r="Q168" s="26">
        <v>39674.839999999997</v>
      </c>
      <c r="R168" s="26">
        <v>42497.17</v>
      </c>
      <c r="S168" s="26">
        <v>45699.93</v>
      </c>
      <c r="T168" s="26">
        <f>G168</f>
        <v>48843.519999999997</v>
      </c>
      <c r="U168" s="26">
        <v>52534.68</v>
      </c>
      <c r="V168" s="26">
        <v>55873.08</v>
      </c>
      <c r="W168" s="26">
        <v>59489.46</v>
      </c>
      <c r="X168" s="26">
        <v>62903.83</v>
      </c>
      <c r="Y168" s="26">
        <v>67648.47</v>
      </c>
      <c r="Z168" s="26">
        <v>72417.19</v>
      </c>
      <c r="AA168" s="69">
        <f t="shared" ref="AA168:AA172" si="342">IFERROR(Z168/V168-1,"")</f>
        <v>0.29610162890608493</v>
      </c>
      <c r="AB168" s="69">
        <f t="shared" ref="AB168:AB172" si="343">IFERROR(Z168/Y168-1,"")</f>
        <v>7.0492651201128353E-2</v>
      </c>
      <c r="AC168" s="75"/>
      <c r="AD168" s="116"/>
    </row>
    <row r="169" spans="1:30" x14ac:dyDescent="0.35">
      <c r="A169" s="1" t="s">
        <v>99</v>
      </c>
      <c r="B169" s="26">
        <v>42.42</v>
      </c>
      <c r="C169" s="26">
        <v>73.86</v>
      </c>
      <c r="D169" s="26">
        <v>249.86</v>
      </c>
      <c r="E169" s="26">
        <v>347.45</v>
      </c>
      <c r="F169" s="26">
        <v>377.66</v>
      </c>
      <c r="G169" s="26">
        <v>519.86</v>
      </c>
      <c r="H169" s="26">
        <f t="shared" ref="H169:H171" si="344">X169</f>
        <v>691.85</v>
      </c>
      <c r="I169" s="30"/>
      <c r="M169" s="26">
        <v>350.29</v>
      </c>
      <c r="N169" s="26">
        <v>350.49</v>
      </c>
      <c r="O169" s="26">
        <v>354.66</v>
      </c>
      <c r="P169" s="26">
        <f>F169</f>
        <v>377.66</v>
      </c>
      <c r="Q169" s="26">
        <v>391.63</v>
      </c>
      <c r="R169" s="26">
        <v>423.37</v>
      </c>
      <c r="S169" s="26">
        <v>467.28</v>
      </c>
      <c r="T169" s="26">
        <f>G169</f>
        <v>519.86</v>
      </c>
      <c r="U169" s="26">
        <v>503.85</v>
      </c>
      <c r="V169" s="26">
        <v>543.54</v>
      </c>
      <c r="W169" s="26">
        <v>625.1</v>
      </c>
      <c r="X169" s="26">
        <v>691.85</v>
      </c>
      <c r="Y169" s="26">
        <v>751.81</v>
      </c>
      <c r="Z169" s="26">
        <v>814.94</v>
      </c>
      <c r="AA169" s="69">
        <f t="shared" si="342"/>
        <v>0.4993192773300954</v>
      </c>
      <c r="AB169" s="69">
        <f t="shared" si="343"/>
        <v>8.3970684082414593E-2</v>
      </c>
      <c r="AC169" s="75"/>
      <c r="AD169" s="116"/>
    </row>
    <row r="170" spans="1:30" x14ac:dyDescent="0.35">
      <c r="A170" s="1" t="s">
        <v>100</v>
      </c>
      <c r="B170" s="26">
        <v>233.96</v>
      </c>
      <c r="C170" s="26">
        <v>287.39999999999998</v>
      </c>
      <c r="D170" s="26">
        <v>858.27</v>
      </c>
      <c r="E170" s="26">
        <v>1843.31</v>
      </c>
      <c r="F170" s="26">
        <v>2296.96</v>
      </c>
      <c r="G170" s="26">
        <v>4213.53</v>
      </c>
      <c r="H170" s="26">
        <f t="shared" si="344"/>
        <v>8214.4</v>
      </c>
      <c r="I170" s="30"/>
      <c r="M170" s="26">
        <v>1831.14</v>
      </c>
      <c r="N170" s="26">
        <v>1897.96</v>
      </c>
      <c r="O170" s="26">
        <v>2045.06</v>
      </c>
      <c r="P170" s="26">
        <f>F170</f>
        <v>2296.96</v>
      </c>
      <c r="Q170" s="26">
        <v>2467.36</v>
      </c>
      <c r="R170" s="26">
        <v>2935.9</v>
      </c>
      <c r="S170" s="26">
        <v>3511.51</v>
      </c>
      <c r="T170" s="26">
        <f>G170</f>
        <v>4213.53</v>
      </c>
      <c r="U170" s="26">
        <v>5068.82</v>
      </c>
      <c r="V170" s="26">
        <v>6137.08</v>
      </c>
      <c r="W170" s="26">
        <v>7211.57</v>
      </c>
      <c r="X170" s="26">
        <v>8214.4</v>
      </c>
      <c r="Y170" s="26">
        <v>9200.57</v>
      </c>
      <c r="Z170" s="26">
        <v>10283.83</v>
      </c>
      <c r="AA170" s="69">
        <f t="shared" si="342"/>
        <v>0.67568778637397586</v>
      </c>
      <c r="AB170" s="69">
        <f t="shared" si="343"/>
        <v>0.1177383575148061</v>
      </c>
      <c r="AC170" s="75"/>
      <c r="AD170" s="116"/>
    </row>
    <row r="171" spans="1:30" x14ac:dyDescent="0.35">
      <c r="A171" s="1" t="s">
        <v>6</v>
      </c>
      <c r="B171" s="26">
        <v>0</v>
      </c>
      <c r="C171" s="26">
        <v>175.92</v>
      </c>
      <c r="D171" s="26">
        <v>840.66</v>
      </c>
      <c r="E171" s="26">
        <v>762.2</v>
      </c>
      <c r="F171" s="26">
        <v>477.59</v>
      </c>
      <c r="G171" s="26">
        <v>226.43</v>
      </c>
      <c r="H171" s="26">
        <f t="shared" si="344"/>
        <v>169.6</v>
      </c>
      <c r="I171" s="30"/>
      <c r="M171" s="26">
        <v>735.46</v>
      </c>
      <c r="N171" s="26">
        <v>702.72</v>
      </c>
      <c r="O171" s="26">
        <v>598.02</v>
      </c>
      <c r="P171" s="26">
        <f>F171</f>
        <v>477.59</v>
      </c>
      <c r="Q171" s="26">
        <v>408.85</v>
      </c>
      <c r="R171" s="26">
        <v>313.83999999999997</v>
      </c>
      <c r="S171" s="26">
        <v>261.76</v>
      </c>
      <c r="T171" s="26">
        <f>G171</f>
        <v>226.43</v>
      </c>
      <c r="U171" s="26">
        <v>211.48</v>
      </c>
      <c r="V171" s="26">
        <v>200.67</v>
      </c>
      <c r="W171" s="26">
        <v>185.65</v>
      </c>
      <c r="X171" s="26">
        <v>169.6</v>
      </c>
      <c r="Y171" s="26">
        <v>158.07</v>
      </c>
      <c r="Z171" s="26">
        <v>138.49</v>
      </c>
      <c r="AA171" s="69">
        <f t="shared" si="342"/>
        <v>-0.30986196242587327</v>
      </c>
      <c r="AB171" s="69">
        <f t="shared" si="343"/>
        <v>-0.12386917188587321</v>
      </c>
      <c r="AC171" s="75"/>
      <c r="AD171" s="116"/>
    </row>
    <row r="172" spans="1:30" s="2" customFormat="1" x14ac:dyDescent="0.35">
      <c r="A172" s="2" t="s">
        <v>35</v>
      </c>
      <c r="B172" s="4">
        <f t="shared" ref="B172:G172" si="345">SUM(B168:B171)</f>
        <v>8473.16</v>
      </c>
      <c r="C172" s="4">
        <f t="shared" si="345"/>
        <v>13559.32</v>
      </c>
      <c r="D172" s="4">
        <f t="shared" si="345"/>
        <v>24435.74</v>
      </c>
      <c r="E172" s="4">
        <f t="shared" si="345"/>
        <v>36183.599999999991</v>
      </c>
      <c r="F172" s="4">
        <f t="shared" si="345"/>
        <v>41410.720000000001</v>
      </c>
      <c r="G172" s="4">
        <f t="shared" si="345"/>
        <v>53803.34</v>
      </c>
      <c r="H172" s="4">
        <f t="shared" ref="H172" si="346">SUM(H168:H171)</f>
        <v>71979.680000000008</v>
      </c>
      <c r="I172" s="4"/>
      <c r="M172" s="4">
        <f t="shared" ref="M172:T172" si="347">SUM(M168:M171)</f>
        <v>36225.129999999997</v>
      </c>
      <c r="N172" s="4">
        <f t="shared" si="347"/>
        <v>37300.119999999995</v>
      </c>
      <c r="O172" s="4">
        <f t="shared" si="347"/>
        <v>39406.47</v>
      </c>
      <c r="P172" s="4">
        <f t="shared" si="347"/>
        <v>41410.720000000001</v>
      </c>
      <c r="Q172" s="4">
        <f t="shared" si="347"/>
        <v>42942.679999999993</v>
      </c>
      <c r="R172" s="4">
        <f t="shared" si="347"/>
        <v>46170.28</v>
      </c>
      <c r="S172" s="4">
        <f>SUM(S168:S171)</f>
        <v>49940.480000000003</v>
      </c>
      <c r="T172" s="4">
        <f t="shared" si="347"/>
        <v>53803.34</v>
      </c>
      <c r="U172" s="4">
        <f t="shared" ref="U172" si="348">SUM(U168:U171)</f>
        <v>58318.83</v>
      </c>
      <c r="V172" s="4">
        <f>SUM(V168:V171)</f>
        <v>62754.37</v>
      </c>
      <c r="W172" s="4">
        <f>SUM(W168:W171)</f>
        <v>67511.78</v>
      </c>
      <c r="X172" s="4">
        <f>SUM(X168:X171)</f>
        <v>71979.680000000008</v>
      </c>
      <c r="Y172" s="4">
        <f>SUM(Y168:Y171)</f>
        <v>77758.920000000013</v>
      </c>
      <c r="Z172" s="4">
        <f>SUM(Z168:Z171)</f>
        <v>83654.450000000012</v>
      </c>
      <c r="AA172" s="71">
        <f t="shared" si="342"/>
        <v>0.33304581019616664</v>
      </c>
      <c r="AB172" s="71">
        <f t="shared" si="343"/>
        <v>7.5818054057335216E-2</v>
      </c>
      <c r="AC172" s="76"/>
    </row>
    <row r="173" spans="1:30" s="2" customFormat="1" x14ac:dyDescent="0.35">
      <c r="A173" s="2" t="s">
        <v>139</v>
      </c>
      <c r="B173" s="12">
        <f t="shared" ref="B173:G173" si="349">B168/B172</f>
        <v>0.96738170883117991</v>
      </c>
      <c r="C173" s="12">
        <f t="shared" si="349"/>
        <v>0.96038296905744536</v>
      </c>
      <c r="D173" s="12">
        <f t="shared" si="349"/>
        <v>0.92024837389823266</v>
      </c>
      <c r="E173" s="12">
        <f t="shared" si="349"/>
        <v>0.91838954664544181</v>
      </c>
      <c r="F173" s="12">
        <f t="shared" si="349"/>
        <v>0.92387937229780115</v>
      </c>
      <c r="G173" s="12">
        <f t="shared" si="349"/>
        <v>0.90781576013682419</v>
      </c>
      <c r="H173" s="12">
        <f t="shared" ref="H173" si="350">H168/H172</f>
        <v>0.87391094264381275</v>
      </c>
      <c r="I173" s="12"/>
      <c r="M173" s="12">
        <f t="shared" ref="M173:T173" si="351">M168/M172</f>
        <v>0.91947882588689123</v>
      </c>
      <c r="N173" s="12">
        <f t="shared" si="351"/>
        <v>0.92088041539812748</v>
      </c>
      <c r="O173" s="12">
        <f t="shared" si="351"/>
        <v>0.92392772049868976</v>
      </c>
      <c r="P173" s="12">
        <f t="shared" si="351"/>
        <v>0.92387937229780115</v>
      </c>
      <c r="Q173" s="12">
        <f t="shared" si="351"/>
        <v>0.92390228090095916</v>
      </c>
      <c r="R173" s="12">
        <f t="shared" si="351"/>
        <v>0.92044427714105259</v>
      </c>
      <c r="S173" s="12">
        <f>S168/S172</f>
        <v>0.91508792066075451</v>
      </c>
      <c r="T173" s="12">
        <f t="shared" si="351"/>
        <v>0.90781576013682419</v>
      </c>
      <c r="U173" s="12">
        <f t="shared" ref="U173:V173" si="352">U168/U172</f>
        <v>0.90081848349838289</v>
      </c>
      <c r="V173" s="12">
        <f t="shared" si="352"/>
        <v>0.89034564445472086</v>
      </c>
      <c r="W173" s="12">
        <f t="shared" ref="W173:X173" si="353">W168/W172</f>
        <v>0.88117155257941648</v>
      </c>
      <c r="X173" s="12">
        <f t="shared" si="353"/>
        <v>0.87391094264381275</v>
      </c>
      <c r="Y173" s="12">
        <f t="shared" ref="Y173" si="354">Y168/Y172</f>
        <v>0.86997697498885007</v>
      </c>
      <c r="Z173" s="12">
        <f>Z168/Z172</f>
        <v>0.86567050527497336</v>
      </c>
      <c r="AA173" s="70"/>
      <c r="AB173" s="70"/>
      <c r="AC173" s="70"/>
    </row>
    <row r="174" spans="1:30" x14ac:dyDescent="0.35">
      <c r="M174" s="39"/>
      <c r="N174" s="39"/>
      <c r="P174" s="39"/>
      <c r="Q174" s="39"/>
    </row>
    <row r="175" spans="1:30" x14ac:dyDescent="0.35">
      <c r="A175" s="2" t="s">
        <v>101</v>
      </c>
      <c r="M175" s="39"/>
      <c r="N175" s="39"/>
      <c r="P175" s="39"/>
      <c r="Q175" s="39"/>
      <c r="V175" s="26"/>
      <c r="W175" s="26"/>
      <c r="X175" s="26"/>
      <c r="Y175" s="26"/>
      <c r="Z175" s="26"/>
    </row>
    <row r="176" spans="1:30" x14ac:dyDescent="0.35">
      <c r="A176" s="1" t="s">
        <v>102</v>
      </c>
      <c r="B176" s="26">
        <v>3788.1</v>
      </c>
      <c r="C176" s="26">
        <v>5664.8</v>
      </c>
      <c r="D176" s="26">
        <v>9047.18</v>
      </c>
      <c r="E176" s="26">
        <v>12398.98</v>
      </c>
      <c r="F176" s="26">
        <v>12824.92</v>
      </c>
      <c r="G176" s="26">
        <v>13784.92</v>
      </c>
      <c r="H176" s="26">
        <f t="shared" ref="H176:H177" si="355">X176</f>
        <v>14607.08</v>
      </c>
      <c r="I176" s="26"/>
      <c r="M176" s="26">
        <v>12298.85</v>
      </c>
      <c r="N176" s="26">
        <v>12252.938</v>
      </c>
      <c r="O176" s="26">
        <v>12680.78</v>
      </c>
      <c r="P176" s="26">
        <f>F176</f>
        <v>12824.92</v>
      </c>
      <c r="Q176" s="26">
        <v>12766.1</v>
      </c>
      <c r="R176" s="26">
        <v>13083.58</v>
      </c>
      <c r="S176" s="26">
        <v>13528.86</v>
      </c>
      <c r="T176" s="26">
        <f>G176</f>
        <v>13784.92</v>
      </c>
      <c r="U176" s="26">
        <v>14207.91</v>
      </c>
      <c r="V176" s="26">
        <v>14423.62</v>
      </c>
      <c r="W176" s="26">
        <v>14620.94</v>
      </c>
      <c r="X176" s="26">
        <v>14607.08</v>
      </c>
      <c r="Y176" s="26">
        <v>15068.64</v>
      </c>
      <c r="Z176" s="26">
        <v>15367.33</v>
      </c>
      <c r="AA176" s="69">
        <f t="shared" ref="AA176:AA178" si="356">IFERROR(Z176/V176-1,"")</f>
        <v>6.542809641407632E-2</v>
      </c>
      <c r="AB176" s="69">
        <f t="shared" ref="AB176:AB178" si="357">IFERROR(Z176/Y176-1,"")</f>
        <v>1.9821961371430996E-2</v>
      </c>
      <c r="AC176" s="75"/>
      <c r="AD176" s="116"/>
    </row>
    <row r="177" spans="1:30" x14ac:dyDescent="0.35">
      <c r="A177" s="1" t="s">
        <v>103</v>
      </c>
      <c r="B177" s="26">
        <v>4685.0600000000004</v>
      </c>
      <c r="C177" s="26">
        <v>7894.52</v>
      </c>
      <c r="D177" s="26">
        <v>15388.56</v>
      </c>
      <c r="E177" s="26">
        <v>23784.62</v>
      </c>
      <c r="F177" s="26">
        <v>28585.8</v>
      </c>
      <c r="G177" s="26">
        <v>40018.44</v>
      </c>
      <c r="H177" s="26">
        <f t="shared" si="355"/>
        <v>57372.6</v>
      </c>
      <c r="I177" s="26"/>
      <c r="M177" s="26">
        <v>23926.28</v>
      </c>
      <c r="N177" s="26">
        <v>25047.178</v>
      </c>
      <c r="O177" s="26">
        <v>26725.69</v>
      </c>
      <c r="P177" s="26">
        <f>F177</f>
        <v>28585.8</v>
      </c>
      <c r="Q177" s="26">
        <v>30176.58</v>
      </c>
      <c r="R177" s="26">
        <v>33086.699999999997</v>
      </c>
      <c r="S177" s="26">
        <v>36411.620000000003</v>
      </c>
      <c r="T177" s="26">
        <f>G177</f>
        <v>40018.44</v>
      </c>
      <c r="U177" s="26">
        <v>44110.92</v>
      </c>
      <c r="V177" s="26">
        <v>48330.75</v>
      </c>
      <c r="W177" s="26">
        <v>52890.84</v>
      </c>
      <c r="X177" s="26">
        <v>57372.6</v>
      </c>
      <c r="Y177" s="26">
        <v>62690.28</v>
      </c>
      <c r="Z177" s="26">
        <v>68287.12</v>
      </c>
      <c r="AA177" s="69">
        <f t="shared" si="356"/>
        <v>0.41291248325341523</v>
      </c>
      <c r="AB177" s="69">
        <f t="shared" si="357"/>
        <v>8.9277636022681683E-2</v>
      </c>
      <c r="AC177" s="75"/>
      <c r="AD177" s="116"/>
    </row>
    <row r="178" spans="1:30" s="2" customFormat="1" x14ac:dyDescent="0.35">
      <c r="A178" s="2" t="s">
        <v>35</v>
      </c>
      <c r="B178" s="4">
        <f t="shared" ref="B178:G178" si="358">SUM(B176:B177)</f>
        <v>8473.16</v>
      </c>
      <c r="C178" s="4">
        <f t="shared" si="358"/>
        <v>13559.32</v>
      </c>
      <c r="D178" s="4">
        <f t="shared" si="358"/>
        <v>24435.739999999998</v>
      </c>
      <c r="E178" s="4">
        <f t="shared" si="358"/>
        <v>36183.599999999999</v>
      </c>
      <c r="F178" s="4">
        <f t="shared" si="358"/>
        <v>41410.720000000001</v>
      </c>
      <c r="G178" s="4">
        <f t="shared" si="358"/>
        <v>53803.360000000001</v>
      </c>
      <c r="H178" s="4">
        <f t="shared" ref="H178" si="359">SUM(H176:H177)</f>
        <v>71979.679999999993</v>
      </c>
      <c r="I178" s="4"/>
      <c r="M178" s="4">
        <f t="shared" ref="M178:T178" si="360">SUM(M176:M177)</f>
        <v>36225.129999999997</v>
      </c>
      <c r="N178" s="4">
        <f t="shared" si="360"/>
        <v>37300.116000000002</v>
      </c>
      <c r="O178" s="4">
        <f t="shared" si="360"/>
        <v>39406.47</v>
      </c>
      <c r="P178" s="4">
        <f t="shared" si="360"/>
        <v>41410.720000000001</v>
      </c>
      <c r="Q178" s="4">
        <f t="shared" si="360"/>
        <v>42942.68</v>
      </c>
      <c r="R178" s="4">
        <f t="shared" si="360"/>
        <v>46170.28</v>
      </c>
      <c r="S178" s="4">
        <f>SUM(S176:S177)</f>
        <v>49940.480000000003</v>
      </c>
      <c r="T178" s="4">
        <f t="shared" si="360"/>
        <v>53803.360000000001</v>
      </c>
      <c r="U178" s="4">
        <f t="shared" ref="U178" si="361">SUM(U176:U177)</f>
        <v>58318.83</v>
      </c>
      <c r="V178" s="4">
        <f>SUM(V176:V177)</f>
        <v>62754.37</v>
      </c>
      <c r="W178" s="4">
        <f>SUM(W176:W177)</f>
        <v>67511.78</v>
      </c>
      <c r="X178" s="4">
        <f>SUM(X176:X177)</f>
        <v>71979.679999999993</v>
      </c>
      <c r="Y178" s="4">
        <f>SUM(Y176:Y177)</f>
        <v>77758.92</v>
      </c>
      <c r="Z178" s="4">
        <f>SUM(Z176:Z177)</f>
        <v>83654.45</v>
      </c>
      <c r="AA178" s="71">
        <f t="shared" si="356"/>
        <v>0.33304581019616641</v>
      </c>
      <c r="AB178" s="71">
        <f t="shared" si="357"/>
        <v>7.5818054057335216E-2</v>
      </c>
      <c r="AC178" s="76"/>
      <c r="AD178" s="114"/>
    </row>
    <row r="179" spans="1:30" s="2" customFormat="1" x14ac:dyDescent="0.35">
      <c r="A179" s="2" t="s">
        <v>140</v>
      </c>
      <c r="B179" s="12">
        <f t="shared" ref="B179:G179" si="362">B176/B178</f>
        <v>0.44707051442437062</v>
      </c>
      <c r="C179" s="12">
        <f t="shared" si="362"/>
        <v>0.41777906266685944</v>
      </c>
      <c r="D179" s="12">
        <f t="shared" si="362"/>
        <v>0.37024374952426248</v>
      </c>
      <c r="E179" s="12">
        <f t="shared" si="362"/>
        <v>0.342668501752175</v>
      </c>
      <c r="F179" s="12">
        <f t="shared" si="362"/>
        <v>0.30970048335310274</v>
      </c>
      <c r="G179" s="12">
        <f t="shared" si="362"/>
        <v>0.25620927763619222</v>
      </c>
      <c r="H179" s="12">
        <f t="shared" ref="H179" si="363">H176/H178</f>
        <v>0.20293338342154343</v>
      </c>
      <c r="I179" s="12"/>
      <c r="M179" s="12">
        <f t="shared" ref="M179:T179" si="364">M176/M178</f>
        <v>0.33951154902687725</v>
      </c>
      <c r="N179" s="12">
        <f t="shared" si="364"/>
        <v>0.32849597572297096</v>
      </c>
      <c r="O179" s="12">
        <f t="shared" si="364"/>
        <v>0.32179436524002275</v>
      </c>
      <c r="P179" s="12">
        <f t="shared" si="364"/>
        <v>0.30970048335310274</v>
      </c>
      <c r="Q179" s="12">
        <f t="shared" si="364"/>
        <v>0.29728233077208971</v>
      </c>
      <c r="R179" s="12">
        <f t="shared" si="364"/>
        <v>0.28337666568190623</v>
      </c>
      <c r="S179" s="12">
        <f>S176/S178</f>
        <v>0.27089967897785522</v>
      </c>
      <c r="T179" s="12">
        <f t="shared" si="364"/>
        <v>0.25620927763619222</v>
      </c>
      <c r="U179" s="12">
        <f t="shared" ref="U179:V179" si="365">U176/U178</f>
        <v>0.24362474350051261</v>
      </c>
      <c r="V179" s="12">
        <f t="shared" si="365"/>
        <v>0.22984247949585027</v>
      </c>
      <c r="W179" s="12">
        <f t="shared" ref="W179:X179" si="366">W176/W178</f>
        <v>0.21656872326577675</v>
      </c>
      <c r="X179" s="12">
        <f t="shared" si="366"/>
        <v>0.20293338342154343</v>
      </c>
      <c r="Y179" s="12">
        <f>Y176/Y178</f>
        <v>0.19378664209842419</v>
      </c>
      <c r="Z179" s="12">
        <f>Z176/Z178</f>
        <v>0.18370009007291305</v>
      </c>
      <c r="AA179" s="70"/>
      <c r="AB179" s="70"/>
      <c r="AC179" s="70"/>
      <c r="AD179" s="126"/>
    </row>
    <row r="181" spans="1:30" x14ac:dyDescent="0.35">
      <c r="A181" s="1" t="s">
        <v>94</v>
      </c>
      <c r="B181" s="3">
        <f t="shared" ref="B181:H181" si="367">B14</f>
        <v>9747</v>
      </c>
      <c r="C181" s="3">
        <f t="shared" si="367"/>
        <v>15723</v>
      </c>
      <c r="D181" s="3">
        <f t="shared" si="367"/>
        <v>29372</v>
      </c>
      <c r="E181" s="3">
        <f t="shared" si="367"/>
        <v>43094</v>
      </c>
      <c r="F181" s="3">
        <f t="shared" si="367"/>
        <v>50417</v>
      </c>
      <c r="G181" s="3">
        <f t="shared" si="367"/>
        <v>62055</v>
      </c>
      <c r="H181" s="3">
        <f t="shared" si="367"/>
        <v>77927</v>
      </c>
      <c r="M181" s="3">
        <v>43205</v>
      </c>
      <c r="N181" s="3">
        <v>44796</v>
      </c>
      <c r="O181" s="3">
        <f>O14</f>
        <v>47440</v>
      </c>
      <c r="P181" s="3">
        <f>F181</f>
        <v>50417</v>
      </c>
      <c r="Q181" s="3">
        <f t="shared" ref="Q181:Y181" si="368">Q14</f>
        <v>52042</v>
      </c>
      <c r="R181" s="3">
        <f t="shared" si="368"/>
        <v>55243</v>
      </c>
      <c r="S181" s="3">
        <f t="shared" si="368"/>
        <v>58615</v>
      </c>
      <c r="T181" s="3">
        <f t="shared" si="368"/>
        <v>62055</v>
      </c>
      <c r="U181" s="3">
        <f t="shared" si="368"/>
        <v>65638</v>
      </c>
      <c r="V181" s="3">
        <f t="shared" si="368"/>
        <v>69395</v>
      </c>
      <c r="W181" s="3">
        <f t="shared" si="368"/>
        <v>73551</v>
      </c>
      <c r="X181" s="3">
        <f t="shared" si="368"/>
        <v>77927</v>
      </c>
      <c r="Y181" s="3">
        <f t="shared" si="368"/>
        <v>82266</v>
      </c>
      <c r="Z181" s="3">
        <f t="shared" ref="Z181" si="369">Z14</f>
        <v>86542</v>
      </c>
      <c r="AA181" s="69">
        <f>IFERROR(Z181/V181-1,"")</f>
        <v>0.24709273002377685</v>
      </c>
      <c r="AB181" s="69">
        <f>IFERROR(Z181/Y181-1,"")</f>
        <v>5.1977730775776054E-2</v>
      </c>
      <c r="AC181" s="75"/>
    </row>
    <row r="182" spans="1:30" x14ac:dyDescent="0.35">
      <c r="A182" s="1" t="s">
        <v>95</v>
      </c>
      <c r="B182" s="30">
        <v>0.68500000000000005</v>
      </c>
      <c r="C182" s="30">
        <v>0.72699999999999998</v>
      </c>
      <c r="D182" s="30">
        <v>0.745</v>
      </c>
      <c r="E182" s="30">
        <v>0.74363000000000001</v>
      </c>
      <c r="F182" s="30">
        <v>0.75</v>
      </c>
      <c r="G182" s="30">
        <v>0.74870000000000003</v>
      </c>
      <c r="H182" s="30">
        <f>X182</f>
        <v>0.72309999999999997</v>
      </c>
      <c r="I182" s="30"/>
      <c r="M182" s="30">
        <v>0.74390000000000001</v>
      </c>
      <c r="N182" s="30">
        <v>0.74568999999999996</v>
      </c>
      <c r="O182" s="30">
        <v>0.74819999999999998</v>
      </c>
      <c r="P182" s="30">
        <f>F182</f>
        <v>0.75</v>
      </c>
      <c r="Q182" s="30">
        <v>0.73709999999999998</v>
      </c>
      <c r="R182" s="30">
        <v>0.74748999999999999</v>
      </c>
      <c r="S182" s="30">
        <v>0.74380000000000002</v>
      </c>
      <c r="T182" s="30">
        <f>G182</f>
        <v>0.74870000000000003</v>
      </c>
      <c r="U182" s="30">
        <v>0.74429999999999996</v>
      </c>
      <c r="V182" s="30">
        <v>0.73180000000000001</v>
      </c>
      <c r="W182" s="30">
        <v>0.72640000000000005</v>
      </c>
      <c r="X182" s="30">
        <v>0.72309999999999997</v>
      </c>
      <c r="Y182" s="30">
        <v>0.71940000000000004</v>
      </c>
      <c r="Z182" s="30">
        <v>0.71589999999999998</v>
      </c>
    </row>
    <row r="183" spans="1:30" x14ac:dyDescent="0.35">
      <c r="A183" s="1" t="s">
        <v>96</v>
      </c>
      <c r="B183" s="30">
        <v>0.315</v>
      </c>
      <c r="C183" s="30">
        <v>0.27300000000000002</v>
      </c>
      <c r="D183" s="30">
        <v>0.255</v>
      </c>
      <c r="E183" s="30">
        <v>0.2555</v>
      </c>
      <c r="F183" s="30">
        <v>0.25</v>
      </c>
      <c r="G183" s="30">
        <v>0.25119999999999998</v>
      </c>
      <c r="H183" s="30">
        <f t="shared" ref="H183:H185" si="370">X183</f>
        <v>0.27679999999999999</v>
      </c>
      <c r="I183" s="30"/>
      <c r="M183" s="30">
        <v>0.25540000000000002</v>
      </c>
      <c r="N183" s="30">
        <v>0.25374999999999998</v>
      </c>
      <c r="O183" s="30">
        <v>0.25130000000000002</v>
      </c>
      <c r="P183" s="30">
        <f>F183</f>
        <v>0.25</v>
      </c>
      <c r="Q183" s="30">
        <v>0.26190000000000002</v>
      </c>
      <c r="R183" s="30">
        <v>0.25223000000000001</v>
      </c>
      <c r="S183" s="30">
        <v>0.25600000000000001</v>
      </c>
      <c r="T183" s="30">
        <f>G183</f>
        <v>0.25119999999999998</v>
      </c>
      <c r="U183" s="30">
        <v>0.25559999999999999</v>
      </c>
      <c r="V183" s="30">
        <v>0.2681</v>
      </c>
      <c r="W183" s="30">
        <v>0.27350000000000002</v>
      </c>
      <c r="X183" s="30">
        <v>0.27679999999999999</v>
      </c>
      <c r="Y183" s="30">
        <v>0.28050000000000003</v>
      </c>
      <c r="Z183" s="30">
        <v>0.28410000000000002</v>
      </c>
    </row>
    <row r="184" spans="1:30" x14ac:dyDescent="0.35">
      <c r="A184" s="1" t="s">
        <v>148</v>
      </c>
      <c r="B184" s="30">
        <v>0.498</v>
      </c>
      <c r="C184" s="30">
        <v>0.48099999999999998</v>
      </c>
      <c r="D184" s="30">
        <v>0.45800000000000002</v>
      </c>
      <c r="E184" s="30">
        <v>0.41799999999999998</v>
      </c>
      <c r="F184" s="30">
        <v>0.38100000000000001</v>
      </c>
      <c r="G184" s="30">
        <v>0.32569999999999999</v>
      </c>
      <c r="H184" s="30">
        <f t="shared" si="370"/>
        <v>0.27579999999999999</v>
      </c>
      <c r="I184" s="30"/>
      <c r="M184" s="30">
        <v>0.41720000000000002</v>
      </c>
      <c r="N184" s="30">
        <v>0.40427000000000002</v>
      </c>
      <c r="O184" s="30">
        <v>0.39379999999999998</v>
      </c>
      <c r="P184" s="30">
        <f>F184</f>
        <v>0.38100000000000001</v>
      </c>
      <c r="Q184" s="30">
        <v>0.36659999999999998</v>
      </c>
      <c r="R184" s="30">
        <v>0.35283999999999999</v>
      </c>
      <c r="S184" s="30">
        <v>0.3412</v>
      </c>
      <c r="T184" s="30">
        <f>G184</f>
        <v>0.32569999999999999</v>
      </c>
      <c r="U184" s="30">
        <v>0.31469999999999998</v>
      </c>
      <c r="V184" s="30">
        <v>0.30149999999999999</v>
      </c>
      <c r="W184" s="30">
        <v>0.28949999999999998</v>
      </c>
      <c r="X184" s="30">
        <v>0.27579999999999999</v>
      </c>
      <c r="Y184" s="30">
        <v>0.26400000000000001</v>
      </c>
      <c r="Z184" s="30">
        <v>0.252</v>
      </c>
    </row>
    <row r="185" spans="1:30" x14ac:dyDescent="0.35">
      <c r="A185" s="1" t="s">
        <v>97</v>
      </c>
      <c r="B185" s="30">
        <v>0.502</v>
      </c>
      <c r="C185" s="30">
        <v>0.51939999999999997</v>
      </c>
      <c r="D185" s="30">
        <v>0.54200000000000004</v>
      </c>
      <c r="E185" s="30">
        <v>0.58199999999999996</v>
      </c>
      <c r="F185" s="30">
        <v>0.61899999999999999</v>
      </c>
      <c r="G185" s="30">
        <v>0.67430000000000001</v>
      </c>
      <c r="H185" s="30">
        <f t="shared" si="370"/>
        <v>0.72419999999999995</v>
      </c>
      <c r="I185" s="30"/>
      <c r="M185" s="30">
        <v>0.58279999999999998</v>
      </c>
      <c r="N185" s="30">
        <v>0.59572000000000003</v>
      </c>
      <c r="O185" s="30">
        <v>0.60619999999999996</v>
      </c>
      <c r="P185" s="30">
        <f>F185</f>
        <v>0.61899999999999999</v>
      </c>
      <c r="Q185" s="30">
        <v>0.63339999999999996</v>
      </c>
      <c r="R185" s="30">
        <v>0.64715</v>
      </c>
      <c r="S185" s="30">
        <v>0.65880000000000005</v>
      </c>
      <c r="T185" s="30">
        <f>G185</f>
        <v>0.67430000000000001</v>
      </c>
      <c r="U185" s="30">
        <v>0.68530000000000002</v>
      </c>
      <c r="V185" s="30">
        <v>0.69850000000000001</v>
      </c>
      <c r="W185" s="30">
        <v>0.71050000000000002</v>
      </c>
      <c r="X185" s="30">
        <v>0.72419999999999995</v>
      </c>
      <c r="Y185" s="30">
        <v>0.73599999999999999</v>
      </c>
      <c r="Z185" s="30">
        <v>0.748</v>
      </c>
    </row>
    <row r="186" spans="1:30" x14ac:dyDescent="0.35">
      <c r="M186" s="7"/>
      <c r="N186" s="7"/>
      <c r="P186" s="7"/>
    </row>
    <row r="187" spans="1:30" s="5" customFormat="1" x14ac:dyDescent="0.35">
      <c r="A187" s="5" t="s">
        <v>159</v>
      </c>
      <c r="B187" s="22" t="str">
        <f t="shared" ref="B187:H187" si="371">B$1</f>
        <v>FY17</v>
      </c>
      <c r="C187" s="22" t="str">
        <f t="shared" si="371"/>
        <v>FY18</v>
      </c>
      <c r="D187" s="22" t="str">
        <f t="shared" si="371"/>
        <v>FY19</v>
      </c>
      <c r="E187" s="22" t="str">
        <f t="shared" si="371"/>
        <v>FY20</v>
      </c>
      <c r="F187" s="22" t="str">
        <f t="shared" si="371"/>
        <v>FY21</v>
      </c>
      <c r="G187" s="22" t="str">
        <f t="shared" si="371"/>
        <v>FY22</v>
      </c>
      <c r="H187" s="22" t="str">
        <f t="shared" si="371"/>
        <v>FY23</v>
      </c>
      <c r="I187" s="22"/>
      <c r="M187" s="6" t="str">
        <f t="shared" ref="M187:Z187" si="372">M$1</f>
        <v>Q1FY21</v>
      </c>
      <c r="N187" s="6" t="str">
        <f t="shared" si="372"/>
        <v>Q2FY21</v>
      </c>
      <c r="O187" s="80" t="str">
        <f t="shared" si="372"/>
        <v>Q3FY21</v>
      </c>
      <c r="P187" s="6" t="str">
        <f t="shared" si="372"/>
        <v>Q4FY21</v>
      </c>
      <c r="Q187" s="6" t="str">
        <f t="shared" si="372"/>
        <v>Q1FY22</v>
      </c>
      <c r="R187" s="80" t="str">
        <f t="shared" si="372"/>
        <v>Q2FY22</v>
      </c>
      <c r="S187" s="80" t="str">
        <f t="shared" si="372"/>
        <v>Q3FY22</v>
      </c>
      <c r="T187" s="80" t="str">
        <f t="shared" si="372"/>
        <v>Q4FY22</v>
      </c>
      <c r="U187" s="80" t="str">
        <f t="shared" si="372"/>
        <v>Q1FY23</v>
      </c>
      <c r="V187" s="80" t="str">
        <f t="shared" si="372"/>
        <v>Q2FY23</v>
      </c>
      <c r="W187" s="80" t="str">
        <f t="shared" si="372"/>
        <v>Q3FY23</v>
      </c>
      <c r="X187" s="80" t="str">
        <f t="shared" si="372"/>
        <v>Q4FY23</v>
      </c>
      <c r="Y187" s="80" t="str">
        <f t="shared" si="372"/>
        <v>Q1FY24</v>
      </c>
      <c r="Z187" s="80" t="str">
        <f t="shared" si="372"/>
        <v>Q2FY24</v>
      </c>
      <c r="AA187" s="6"/>
      <c r="AB187" s="6"/>
      <c r="AC187" s="6"/>
    </row>
    <row r="188" spans="1:30" x14ac:dyDescent="0.35">
      <c r="A188" s="1" t="s">
        <v>160</v>
      </c>
      <c r="B188" s="38">
        <v>0.69399999999999995</v>
      </c>
      <c r="C188" s="38">
        <v>0.73599999999999999</v>
      </c>
      <c r="D188" s="38">
        <v>0.72799999999999998</v>
      </c>
      <c r="E188" s="38">
        <v>0.72940000000000005</v>
      </c>
      <c r="F188" s="38">
        <v>0.73780000000000001</v>
      </c>
      <c r="G188" s="38">
        <v>0.72319999999999995</v>
      </c>
      <c r="H188" s="38">
        <f>X188</f>
        <v>0.69489999999999996</v>
      </c>
      <c r="I188" s="38"/>
      <c r="M188" s="38">
        <v>0.72929999999999995</v>
      </c>
      <c r="N188" s="38">
        <v>0.73087000000000002</v>
      </c>
      <c r="O188" s="38">
        <v>0.7349</v>
      </c>
      <c r="P188" s="38">
        <f>F188</f>
        <v>0.73780000000000001</v>
      </c>
      <c r="Q188" s="38">
        <v>0.73939999999999995</v>
      </c>
      <c r="R188" s="38">
        <v>0.73597000000000001</v>
      </c>
      <c r="S188" s="38">
        <v>0.72929999999999995</v>
      </c>
      <c r="T188" s="38">
        <f>G188</f>
        <v>0.72319999999999995</v>
      </c>
      <c r="U188" s="38">
        <v>0.71619999999999995</v>
      </c>
      <c r="V188" s="38">
        <v>0.70830000000000004</v>
      </c>
      <c r="W188" s="38">
        <v>0.70079999999999998</v>
      </c>
      <c r="X188" s="38">
        <v>0.69489999999999996</v>
      </c>
      <c r="Y188" s="38">
        <v>0.69079999999999997</v>
      </c>
      <c r="Z188" s="38">
        <v>0.68669999999999998</v>
      </c>
    </row>
    <row r="189" spans="1:30" x14ac:dyDescent="0.35">
      <c r="A189" s="1" t="s">
        <v>161</v>
      </c>
      <c r="B189" s="38">
        <v>0.30599999999999999</v>
      </c>
      <c r="C189" s="38">
        <v>0.251</v>
      </c>
      <c r="D189" s="38">
        <v>0.23799999999999999</v>
      </c>
      <c r="E189" s="38">
        <v>0.2495</v>
      </c>
      <c r="F189" s="38">
        <v>0.25069999999999998</v>
      </c>
      <c r="G189" s="38">
        <v>0.27260000000000001</v>
      </c>
      <c r="H189" s="38">
        <f t="shared" ref="H189:H190" si="373">X189</f>
        <v>0.30280000000000001</v>
      </c>
      <c r="I189" s="38"/>
      <c r="M189" s="38">
        <v>0.25040000000000001</v>
      </c>
      <c r="N189" s="38">
        <v>0.25028</v>
      </c>
      <c r="O189" s="38">
        <v>0.24990000000000001</v>
      </c>
      <c r="P189" s="38">
        <f>F189</f>
        <v>0.25069999999999998</v>
      </c>
      <c r="Q189" s="38">
        <v>0.25109999999999999</v>
      </c>
      <c r="R189" s="38">
        <v>0.25722</v>
      </c>
      <c r="S189" s="38">
        <v>0.26550000000000001</v>
      </c>
      <c r="T189" s="38">
        <f>G189</f>
        <v>0.27260000000000001</v>
      </c>
      <c r="U189" s="38">
        <v>0.2802</v>
      </c>
      <c r="V189" s="38">
        <v>0.28849999999999998</v>
      </c>
      <c r="W189" s="38">
        <v>0.29649999999999999</v>
      </c>
      <c r="X189" s="38">
        <v>0.30280000000000001</v>
      </c>
      <c r="Y189" s="38">
        <v>0.30719999999999997</v>
      </c>
      <c r="Z189" s="38">
        <v>0.31169999999999998</v>
      </c>
    </row>
    <row r="190" spans="1:30" x14ac:dyDescent="0.35">
      <c r="A190" s="1" t="s">
        <v>162</v>
      </c>
      <c r="B190" s="38">
        <v>0</v>
      </c>
      <c r="C190" s="38">
        <v>1.2999999999999999E-2</v>
      </c>
      <c r="D190" s="38">
        <v>3.4000000000000002E-2</v>
      </c>
      <c r="E190" s="38">
        <v>2.1000000000000001E-2</v>
      </c>
      <c r="F190" s="38">
        <v>1.15E-2</v>
      </c>
      <c r="G190" s="38">
        <v>4.1999999999999997E-3</v>
      </c>
      <c r="H190" s="38">
        <f t="shared" si="373"/>
        <v>2.3E-3</v>
      </c>
      <c r="I190" s="38"/>
      <c r="M190" s="38">
        <v>2.0299999999999999E-2</v>
      </c>
      <c r="N190" s="38">
        <v>1.8839999999999999E-2</v>
      </c>
      <c r="O190" s="38">
        <v>1.5100000000000001E-2</v>
      </c>
      <c r="P190" s="38">
        <f>F190</f>
        <v>1.15E-2</v>
      </c>
      <c r="Q190" s="38">
        <v>9.4999999999999998E-3</v>
      </c>
      <c r="R190" s="38">
        <v>6.79E-3</v>
      </c>
      <c r="S190" s="38">
        <v>5.1999999999999998E-3</v>
      </c>
      <c r="T190" s="38">
        <f>G190</f>
        <v>4.1999999999999997E-3</v>
      </c>
      <c r="U190" s="38">
        <v>3.5999999999999999E-3</v>
      </c>
      <c r="V190" s="38">
        <v>3.2000000000000002E-3</v>
      </c>
      <c r="W190" s="38">
        <v>2.7000000000000001E-3</v>
      </c>
      <c r="X190" s="38">
        <v>2.3E-3</v>
      </c>
      <c r="Y190" s="38">
        <v>2E-3</v>
      </c>
      <c r="Z190" s="38">
        <v>1.6999999999999999E-3</v>
      </c>
    </row>
    <row r="191" spans="1:30" x14ac:dyDescent="0.35">
      <c r="B191" s="46"/>
      <c r="C191" s="46"/>
      <c r="D191" s="46"/>
      <c r="E191" s="46"/>
      <c r="F191" s="46"/>
      <c r="G191" s="46"/>
      <c r="H191" s="46"/>
      <c r="I191" s="46"/>
      <c r="M191" s="46"/>
      <c r="N191" s="46"/>
      <c r="O191" s="42"/>
      <c r="P191" s="46"/>
      <c r="Q191" s="46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30" s="5" customFormat="1" x14ac:dyDescent="0.35">
      <c r="A192" s="5" t="s">
        <v>163</v>
      </c>
      <c r="B192" s="22" t="str">
        <f t="shared" ref="B192:H192" si="374">B$1</f>
        <v>FY17</v>
      </c>
      <c r="C192" s="22" t="str">
        <f t="shared" si="374"/>
        <v>FY18</v>
      </c>
      <c r="D192" s="22" t="str">
        <f t="shared" si="374"/>
        <v>FY19</v>
      </c>
      <c r="E192" s="22" t="str">
        <f t="shared" si="374"/>
        <v>FY20</v>
      </c>
      <c r="F192" s="22" t="str">
        <f t="shared" si="374"/>
        <v>FY21</v>
      </c>
      <c r="G192" s="22" t="str">
        <f t="shared" si="374"/>
        <v>FY22</v>
      </c>
      <c r="H192" s="22" t="str">
        <f t="shared" si="374"/>
        <v>FY23</v>
      </c>
      <c r="I192" s="22"/>
      <c r="M192" s="6" t="str">
        <f t="shared" ref="M192:Z192" si="375">M$1</f>
        <v>Q1FY21</v>
      </c>
      <c r="N192" s="6" t="str">
        <f t="shared" si="375"/>
        <v>Q2FY21</v>
      </c>
      <c r="O192" s="80" t="str">
        <f t="shared" si="375"/>
        <v>Q3FY21</v>
      </c>
      <c r="P192" s="6" t="str">
        <f t="shared" si="375"/>
        <v>Q4FY21</v>
      </c>
      <c r="Q192" s="6" t="str">
        <f t="shared" si="375"/>
        <v>Q1FY22</v>
      </c>
      <c r="R192" s="80" t="str">
        <f t="shared" si="375"/>
        <v>Q2FY22</v>
      </c>
      <c r="S192" s="80" t="str">
        <f t="shared" si="375"/>
        <v>Q3FY22</v>
      </c>
      <c r="T192" s="80" t="str">
        <f t="shared" si="375"/>
        <v>Q4FY22</v>
      </c>
      <c r="U192" s="80" t="str">
        <f t="shared" si="375"/>
        <v>Q1FY23</v>
      </c>
      <c r="V192" s="80" t="str">
        <f t="shared" si="375"/>
        <v>Q2FY23</v>
      </c>
      <c r="W192" s="80" t="str">
        <f t="shared" si="375"/>
        <v>Q3FY23</v>
      </c>
      <c r="X192" s="80" t="str">
        <f t="shared" si="375"/>
        <v>Q4FY23</v>
      </c>
      <c r="Y192" s="80" t="str">
        <f t="shared" si="375"/>
        <v>Q1FY24</v>
      </c>
      <c r="Z192" s="80" t="str">
        <f t="shared" si="375"/>
        <v>Q2FY24</v>
      </c>
      <c r="AA192" s="6"/>
      <c r="AB192" s="6"/>
      <c r="AC192" s="6"/>
    </row>
    <row r="193" spans="1:30" x14ac:dyDescent="0.35">
      <c r="A193" s="1" t="s">
        <v>164</v>
      </c>
      <c r="B193" s="38">
        <v>3.2593507026894335E-2</v>
      </c>
      <c r="C193" s="38">
        <v>3.0053867008080052E-2</v>
      </c>
      <c r="D193" s="38">
        <v>3.6081984830416428E-2</v>
      </c>
      <c r="E193" s="38">
        <v>3.4362798803011352E-2</v>
      </c>
      <c r="F193" s="38">
        <v>3.0495465059971041E-2</v>
      </c>
      <c r="G193" s="38">
        <v>2.4203211618959625E-2</v>
      </c>
      <c r="H193" s="38">
        <f t="shared" ref="H193:H198" si="376">X193</f>
        <v>1.83E-2</v>
      </c>
      <c r="I193" s="38"/>
      <c r="M193" s="38">
        <v>3.4228000000000001E-2</v>
      </c>
      <c r="N193" s="38">
        <v>3.2582E-2</v>
      </c>
      <c r="O193" s="38">
        <v>3.1983449996411652E-2</v>
      </c>
      <c r="P193" s="38">
        <f>F193</f>
        <v>3.0495465059971041E-2</v>
      </c>
      <c r="Q193" s="38">
        <v>2.9489999999999999E-2</v>
      </c>
      <c r="R193" s="38">
        <v>2.7699999999999999E-2</v>
      </c>
      <c r="S193" s="38">
        <v>2.607692941357205E-2</v>
      </c>
      <c r="T193" s="38">
        <f>G193</f>
        <v>2.4203211618959625E-2</v>
      </c>
      <c r="U193" s="38">
        <v>2.24E-2</v>
      </c>
      <c r="V193" s="38">
        <v>2.1000000000000001E-2</v>
      </c>
      <c r="W193" s="38">
        <v>1.9400000000000001E-2</v>
      </c>
      <c r="X193" s="38">
        <v>1.83E-2</v>
      </c>
      <c r="Y193" s="38">
        <v>1.6799999999999999E-2</v>
      </c>
      <c r="Z193" s="38">
        <v>1.6299999999999999E-2</v>
      </c>
      <c r="AD193" s="112"/>
    </row>
    <row r="194" spans="1:30" x14ac:dyDescent="0.35">
      <c r="A194" s="20" t="s">
        <v>165</v>
      </c>
      <c r="B194" s="38">
        <v>0.32455541970174057</v>
      </c>
      <c r="C194" s="38">
        <v>0.34963331494499722</v>
      </c>
      <c r="D194" s="38">
        <v>0.33490534765879809</v>
      </c>
      <c r="E194" s="38">
        <v>0.34967885146513467</v>
      </c>
      <c r="F194" s="38">
        <v>0.35497792623210939</v>
      </c>
      <c r="G194" s="38">
        <v>0.33252762680482001</v>
      </c>
      <c r="H194" s="38">
        <f t="shared" si="376"/>
        <v>0.2777</v>
      </c>
      <c r="I194" s="38"/>
      <c r="M194" s="38">
        <v>0.35084900000000002</v>
      </c>
      <c r="N194" s="38">
        <v>0.345439</v>
      </c>
      <c r="O194" s="38">
        <v>0.35519412403848949</v>
      </c>
      <c r="P194" s="38">
        <f>F194</f>
        <v>0.35497792623210939</v>
      </c>
      <c r="Q194" s="38">
        <v>0.35309000000000001</v>
      </c>
      <c r="R194" s="38">
        <v>0.34849999999999998</v>
      </c>
      <c r="S194" s="38">
        <v>0.34303564191117208</v>
      </c>
      <c r="T194" s="38">
        <f>G194</f>
        <v>0.33252762680482001</v>
      </c>
      <c r="U194" s="38">
        <v>0.32269999999999999</v>
      </c>
      <c r="V194" s="38">
        <v>0.30809999999999998</v>
      </c>
      <c r="W194" s="38">
        <v>0.2928</v>
      </c>
      <c r="X194" s="38">
        <v>0.2777</v>
      </c>
      <c r="Y194" s="38">
        <v>0.26750000000000002</v>
      </c>
      <c r="Z194" s="38">
        <v>0.25879999999999997</v>
      </c>
      <c r="AD194" s="112"/>
    </row>
    <row r="195" spans="1:30" x14ac:dyDescent="0.35">
      <c r="A195" s="20" t="s">
        <v>166</v>
      </c>
      <c r="B195" s="38">
        <v>0.36526750350518578</v>
      </c>
      <c r="C195" s="38">
        <v>0.33320476248071434</v>
      </c>
      <c r="D195" s="38">
        <v>0.30580330286703</v>
      </c>
      <c r="E195" s="38">
        <v>0.31660604025106925</v>
      </c>
      <c r="F195" s="38">
        <v>0.32639196043889818</v>
      </c>
      <c r="G195" s="38">
        <v>0.32513059071208961</v>
      </c>
      <c r="H195" s="38">
        <f t="shared" si="376"/>
        <v>0.32079999999999997</v>
      </c>
      <c r="I195" s="38"/>
      <c r="M195" s="38">
        <v>0.31698599999999999</v>
      </c>
      <c r="N195" s="38">
        <v>0.3216934745538475</v>
      </c>
      <c r="O195" s="38">
        <v>0.32444418247566048</v>
      </c>
      <c r="P195" s="38">
        <f>F195</f>
        <v>0.32639196043889818</v>
      </c>
      <c r="Q195" s="38">
        <v>0.33015099999999997</v>
      </c>
      <c r="R195" s="38">
        <v>0.32990000000000003</v>
      </c>
      <c r="S195" s="38">
        <v>0.32864077210018222</v>
      </c>
      <c r="T195" s="38">
        <f>G195</f>
        <v>0.32513059071208961</v>
      </c>
      <c r="U195" s="38">
        <v>0.32289000000000001</v>
      </c>
      <c r="V195" s="38">
        <v>0.32329999999999998</v>
      </c>
      <c r="W195" s="38">
        <v>0.32200000000000001</v>
      </c>
      <c r="X195" s="38">
        <v>0.32079999999999997</v>
      </c>
      <c r="Y195" s="38">
        <v>0.32019999999999998</v>
      </c>
      <c r="Z195" s="38">
        <v>0.317</v>
      </c>
      <c r="AD195" s="112"/>
    </row>
    <row r="196" spans="1:30" x14ac:dyDescent="0.35">
      <c r="A196" s="20" t="s">
        <v>196</v>
      </c>
      <c r="B196" s="38">
        <v>0.1585901835914818</v>
      </c>
      <c r="C196" s="38">
        <v>0.15643114846467226</v>
      </c>
      <c r="D196" s="38">
        <v>0.14270572530236447</v>
      </c>
      <c r="E196" s="38">
        <v>0.13946674023984873</v>
      </c>
      <c r="F196" s="38">
        <v>0.1422700485986842</v>
      </c>
      <c r="G196" s="38">
        <v>0.1577711432192466</v>
      </c>
      <c r="H196" s="38">
        <f t="shared" si="376"/>
        <v>0.1812</v>
      </c>
      <c r="I196" s="38"/>
      <c r="M196" s="38">
        <v>0.13925199999999999</v>
      </c>
      <c r="N196" s="38">
        <v>0.14230100000000001</v>
      </c>
      <c r="O196" s="38">
        <v>0.13926546970837578</v>
      </c>
      <c r="P196" s="38">
        <f>F196</f>
        <v>0.1422700485986842</v>
      </c>
      <c r="Q196" s="38">
        <v>0.14341000000000001</v>
      </c>
      <c r="R196" s="38">
        <v>0.14760000000000001</v>
      </c>
      <c r="S196" s="38">
        <v>0.15116153444214223</v>
      </c>
      <c r="T196" s="38">
        <f>G196</f>
        <v>0.1577711432192466</v>
      </c>
      <c r="U196" s="38">
        <v>0.16309999999999999</v>
      </c>
      <c r="V196" s="38">
        <v>0.1686</v>
      </c>
      <c r="W196" s="38">
        <v>0.17610000000000001</v>
      </c>
      <c r="X196" s="38">
        <v>0.1812</v>
      </c>
      <c r="Y196" s="38">
        <v>0.18590000000000001</v>
      </c>
      <c r="Z196" s="38">
        <v>0.1903</v>
      </c>
      <c r="AD196" s="112"/>
    </row>
    <row r="197" spans="1:30" x14ac:dyDescent="0.35">
      <c r="A197" s="20" t="s">
        <v>197</v>
      </c>
      <c r="B197" s="38">
        <v>6.5897492788994899E-2</v>
      </c>
      <c r="C197" s="38">
        <v>5.9326721399008207E-2</v>
      </c>
      <c r="D197" s="38">
        <v>6.1252902510830445E-2</v>
      </c>
      <c r="E197" s="38">
        <v>5.9695196997411028E-2</v>
      </c>
      <c r="F197" s="38">
        <v>6.007956089159619E-2</v>
      </c>
      <c r="G197" s="38">
        <v>7.1329014103161822E-2</v>
      </c>
      <c r="H197" s="38">
        <f t="shared" si="376"/>
        <v>9.0999999999999998E-2</v>
      </c>
      <c r="I197" s="38"/>
      <c r="M197" s="38">
        <v>5.9663000000000001E-2</v>
      </c>
      <c r="N197" s="38">
        <v>6.15659E-2</v>
      </c>
      <c r="O197" s="38">
        <v>6.0081996159402164E-2</v>
      </c>
      <c r="P197" s="38">
        <f>F197</f>
        <v>6.007956089159619E-2</v>
      </c>
      <c r="Q197" s="38">
        <v>6.0509E-2</v>
      </c>
      <c r="R197" s="38">
        <v>6.318E-2</v>
      </c>
      <c r="S197" s="38">
        <v>6.6048047432446508E-2</v>
      </c>
      <c r="T197" s="38">
        <f>G197</f>
        <v>7.1329014103161822E-2</v>
      </c>
      <c r="U197" s="38">
        <v>7.5300000000000006E-2</v>
      </c>
      <c r="V197" s="38">
        <v>8.0600000000000005E-2</v>
      </c>
      <c r="W197" s="38">
        <v>8.5300000000000001E-2</v>
      </c>
      <c r="X197" s="38">
        <v>9.0999999999999998E-2</v>
      </c>
      <c r="Y197" s="38">
        <v>9.6000000000000002E-2</v>
      </c>
      <c r="Z197" s="38">
        <v>0.10050000000000001</v>
      </c>
      <c r="AD197" s="112"/>
    </row>
    <row r="198" spans="1:30" x14ac:dyDescent="0.35">
      <c r="A198" s="1" t="s">
        <v>167</v>
      </c>
      <c r="B198" s="38">
        <f t="shared" ref="B198:G198" si="377">1-B193-B196-B194-B195-B197</f>
        <v>5.3095893385702614E-2</v>
      </c>
      <c r="C198" s="38">
        <f t="shared" si="377"/>
        <v>7.1350185702527796E-2</v>
      </c>
      <c r="D198" s="38">
        <f t="shared" si="377"/>
        <v>0.11925073683056052</v>
      </c>
      <c r="E198" s="38">
        <f t="shared" si="377"/>
        <v>0.10019037224352503</v>
      </c>
      <c r="F198" s="38">
        <f t="shared" si="377"/>
        <v>8.5785038778741024E-2</v>
      </c>
      <c r="G198" s="38">
        <f t="shared" si="377"/>
        <v>8.903841354172233E-2</v>
      </c>
      <c r="H198" s="38">
        <f t="shared" si="376"/>
        <v>0.11099999999999999</v>
      </c>
      <c r="I198" s="38"/>
      <c r="M198" s="38">
        <f t="shared" ref="M198:T198" si="378">1-M193-M196-M194-M195-M197</f>
        <v>9.9021999999999916E-2</v>
      </c>
      <c r="N198" s="38">
        <f t="shared" si="378"/>
        <v>9.6418625446152484E-2</v>
      </c>
      <c r="O198" s="38">
        <f t="shared" si="378"/>
        <v>8.9030777621660367E-2</v>
      </c>
      <c r="P198" s="38">
        <f t="shared" si="378"/>
        <v>8.5785038778741024E-2</v>
      </c>
      <c r="Q198" s="38">
        <f t="shared" si="378"/>
        <v>8.3349999999999952E-2</v>
      </c>
      <c r="R198" s="38">
        <f t="shared" si="378"/>
        <v>8.3119999999999986E-2</v>
      </c>
      <c r="S198" s="38">
        <f>1-S193-S196-S194-S195-S197</f>
        <v>8.5037074700484896E-2</v>
      </c>
      <c r="T198" s="38">
        <f t="shared" si="378"/>
        <v>8.903841354172233E-2</v>
      </c>
      <c r="U198" s="38">
        <f t="shared" ref="U198" si="379">1-U193-U196-U194-U195-U197</f>
        <v>9.3609999999999999E-2</v>
      </c>
      <c r="V198" s="38">
        <f>1-V193-V194-V195-V196-V197</f>
        <v>9.8400000000000071E-2</v>
      </c>
      <c r="W198" s="38">
        <f>1-W193-W194-W195-W196-W197</f>
        <v>0.10439999999999995</v>
      </c>
      <c r="X198" s="38">
        <f>1-X193-X194-X195-X196-X197</f>
        <v>0.11099999999999999</v>
      </c>
      <c r="Y198" s="38">
        <f>1-Y193-Y194-Y195-Y196-Y197</f>
        <v>0.11360000000000001</v>
      </c>
      <c r="Z198" s="38">
        <v>0.1171</v>
      </c>
      <c r="AD198" s="112"/>
    </row>
    <row r="200" spans="1:30" s="5" customFormat="1" x14ac:dyDescent="0.35">
      <c r="A200" s="5" t="s">
        <v>104</v>
      </c>
      <c r="B200" s="22" t="str">
        <f t="shared" ref="B200:H200" si="380">B$1</f>
        <v>FY17</v>
      </c>
      <c r="C200" s="22" t="str">
        <f t="shared" si="380"/>
        <v>FY18</v>
      </c>
      <c r="D200" s="22" t="str">
        <f t="shared" si="380"/>
        <v>FY19</v>
      </c>
      <c r="E200" s="22" t="str">
        <f t="shared" si="380"/>
        <v>FY20</v>
      </c>
      <c r="F200" s="22" t="str">
        <f t="shared" si="380"/>
        <v>FY21</v>
      </c>
      <c r="G200" s="22" t="str">
        <f t="shared" si="380"/>
        <v>FY22</v>
      </c>
      <c r="H200" s="22" t="str">
        <f t="shared" si="380"/>
        <v>FY23</v>
      </c>
      <c r="I200" s="22"/>
      <c r="M200" s="6" t="str">
        <f t="shared" ref="M200:AB200" si="381">M$1</f>
        <v>Q1FY21</v>
      </c>
      <c r="N200" s="6" t="str">
        <f t="shared" si="381"/>
        <v>Q2FY21</v>
      </c>
      <c r="O200" s="80" t="str">
        <f t="shared" si="381"/>
        <v>Q3FY21</v>
      </c>
      <c r="P200" s="6" t="str">
        <f t="shared" si="381"/>
        <v>Q4FY21</v>
      </c>
      <c r="Q200" s="6" t="str">
        <f t="shared" si="381"/>
        <v>Q1FY22</v>
      </c>
      <c r="R200" s="80" t="str">
        <f t="shared" si="381"/>
        <v>Q2FY22</v>
      </c>
      <c r="S200" s="80" t="str">
        <f t="shared" si="381"/>
        <v>Q3FY22</v>
      </c>
      <c r="T200" s="80" t="str">
        <f t="shared" si="381"/>
        <v>Q4FY22</v>
      </c>
      <c r="U200" s="80" t="str">
        <f t="shared" si="381"/>
        <v>Q1FY23</v>
      </c>
      <c r="V200" s="80" t="str">
        <f t="shared" si="381"/>
        <v>Q2FY23</v>
      </c>
      <c r="W200" s="80" t="str">
        <f t="shared" si="381"/>
        <v>Q3FY23</v>
      </c>
      <c r="X200" s="80" t="str">
        <f t="shared" si="381"/>
        <v>Q4FY23</v>
      </c>
      <c r="Y200" s="80" t="str">
        <f t="shared" si="381"/>
        <v>Q1FY24</v>
      </c>
      <c r="Z200" s="80" t="str">
        <f t="shared" si="381"/>
        <v>Q2FY24</v>
      </c>
      <c r="AA200" s="6" t="str">
        <f t="shared" si="381"/>
        <v>y-o-y</v>
      </c>
      <c r="AB200" s="6" t="str">
        <f t="shared" si="381"/>
        <v>q-o-q</v>
      </c>
      <c r="AC200" s="6"/>
    </row>
    <row r="201" spans="1:30" x14ac:dyDescent="0.35">
      <c r="A201" s="1" t="s">
        <v>63</v>
      </c>
      <c r="B201" s="26">
        <v>2799.9</v>
      </c>
      <c r="C201" s="26">
        <v>5157.99</v>
      </c>
      <c r="D201" s="26">
        <v>9959.86</v>
      </c>
      <c r="E201" s="26">
        <v>14375.05</v>
      </c>
      <c r="F201" s="26">
        <v>15824.26</v>
      </c>
      <c r="G201" s="26">
        <v>19379.98</v>
      </c>
      <c r="H201" s="26">
        <f t="shared" ref="H201:H211" si="382">X201</f>
        <v>23432.240000000002</v>
      </c>
      <c r="I201" s="26"/>
      <c r="M201" s="26">
        <v>14339.33</v>
      </c>
      <c r="N201" s="26">
        <v>14539.78</v>
      </c>
      <c r="O201" s="26">
        <v>15344.75</v>
      </c>
      <c r="P201" s="26">
        <f t="shared" ref="P201:P211" si="383">F201</f>
        <v>15824.26</v>
      </c>
      <c r="Q201" s="35">
        <v>16387.060000000001</v>
      </c>
      <c r="R201" s="35">
        <v>17322.41</v>
      </c>
      <c r="S201" s="35">
        <v>18473.48</v>
      </c>
      <c r="T201" s="35">
        <f t="shared" ref="T201:T211" si="384">G201</f>
        <v>19379.98</v>
      </c>
      <c r="U201" s="35">
        <v>20413.509999999998</v>
      </c>
      <c r="V201" s="35">
        <v>21310.97</v>
      </c>
      <c r="W201" s="35">
        <v>22404.49</v>
      </c>
      <c r="X201" s="35">
        <v>23432.240000000002</v>
      </c>
      <c r="Y201" s="35">
        <v>25354.85</v>
      </c>
      <c r="Z201" s="35">
        <v>27020.92</v>
      </c>
      <c r="AA201" s="69">
        <f t="shared" ref="AA201:AA212" si="385">IFERROR(Z201/V201-1,"")</f>
        <v>0.26793477725321724</v>
      </c>
      <c r="AB201" s="69">
        <f t="shared" ref="AB201:AB212" si="386">IFERROR(Z201/Y201-1,"")</f>
        <v>6.5710110688881995E-2</v>
      </c>
      <c r="AC201" s="75"/>
      <c r="AD201" s="118"/>
    </row>
    <row r="202" spans="1:30" x14ac:dyDescent="0.35">
      <c r="A202" s="1" t="s">
        <v>64</v>
      </c>
      <c r="B202" s="26">
        <v>3098.04</v>
      </c>
      <c r="C202" s="26">
        <v>4824.8</v>
      </c>
      <c r="D202" s="26">
        <v>6943.49</v>
      </c>
      <c r="E202" s="26">
        <v>7847.28</v>
      </c>
      <c r="F202" s="26">
        <v>7963.53</v>
      </c>
      <c r="G202" s="26">
        <v>8668.4599999999991</v>
      </c>
      <c r="H202" s="26">
        <f t="shared" si="382"/>
        <v>10369.89</v>
      </c>
      <c r="I202" s="26"/>
      <c r="M202" s="26">
        <v>7786.82</v>
      </c>
      <c r="N202" s="26">
        <v>7794.21</v>
      </c>
      <c r="O202" s="26">
        <v>7873.45</v>
      </c>
      <c r="P202" s="26">
        <f t="shared" si="383"/>
        <v>7963.53</v>
      </c>
      <c r="Q202" s="35">
        <v>8017.33</v>
      </c>
      <c r="R202" s="35">
        <v>8165.57</v>
      </c>
      <c r="S202" s="35">
        <v>8361.82</v>
      </c>
      <c r="T202" s="35">
        <f t="shared" si="384"/>
        <v>8668.4599999999991</v>
      </c>
      <c r="U202" s="35">
        <v>9145.51</v>
      </c>
      <c r="V202" s="35">
        <v>9528.36</v>
      </c>
      <c r="W202" s="35">
        <v>9994.15</v>
      </c>
      <c r="X202" s="35">
        <v>10369.89</v>
      </c>
      <c r="Y202" s="35">
        <v>10866.52</v>
      </c>
      <c r="Z202" s="35">
        <v>11376.05</v>
      </c>
      <c r="AA202" s="69">
        <f t="shared" si="385"/>
        <v>0.19391479750974971</v>
      </c>
      <c r="AB202" s="69">
        <f t="shared" si="386"/>
        <v>4.6889896673451892E-2</v>
      </c>
      <c r="AC202" s="75"/>
      <c r="AD202" s="118"/>
    </row>
    <row r="203" spans="1:30" x14ac:dyDescent="0.35">
      <c r="A203" s="1" t="s">
        <v>65</v>
      </c>
      <c r="B203" s="26">
        <v>803.84</v>
      </c>
      <c r="C203" s="26">
        <v>1175.71</v>
      </c>
      <c r="D203" s="26">
        <v>2087.3200000000002</v>
      </c>
      <c r="E203" s="26">
        <v>3595.52</v>
      </c>
      <c r="F203" s="26">
        <v>4613.58</v>
      </c>
      <c r="G203" s="26">
        <v>6574.35</v>
      </c>
      <c r="H203" s="26">
        <f t="shared" si="382"/>
        <v>9879.89</v>
      </c>
      <c r="I203" s="26"/>
      <c r="M203" s="26">
        <v>3652.61</v>
      </c>
      <c r="N203" s="26">
        <v>3917.97</v>
      </c>
      <c r="O203" s="26">
        <v>4244.7700000000004</v>
      </c>
      <c r="P203" s="26">
        <f t="shared" si="383"/>
        <v>4613.58</v>
      </c>
      <c r="Q203" s="35">
        <v>4904.37</v>
      </c>
      <c r="R203" s="35">
        <v>5452.55</v>
      </c>
      <c r="S203" s="35">
        <v>5994.18</v>
      </c>
      <c r="T203" s="35">
        <f t="shared" si="384"/>
        <v>6574.35</v>
      </c>
      <c r="U203" s="35">
        <v>7349.82</v>
      </c>
      <c r="V203" s="35">
        <v>8201.16</v>
      </c>
      <c r="W203" s="35">
        <v>9095.48</v>
      </c>
      <c r="X203" s="35">
        <v>9879.89</v>
      </c>
      <c r="Y203" s="35">
        <v>10773.63</v>
      </c>
      <c r="Z203" s="35">
        <v>11747.39</v>
      </c>
      <c r="AA203" s="69">
        <f t="shared" si="385"/>
        <v>0.43240590355510689</v>
      </c>
      <c r="AB203" s="69">
        <f t="shared" si="386"/>
        <v>9.038364970766577E-2</v>
      </c>
      <c r="AC203" s="75"/>
      <c r="AD203" s="118"/>
    </row>
    <row r="204" spans="1:30" x14ac:dyDescent="0.35">
      <c r="A204" s="1" t="s">
        <v>32</v>
      </c>
      <c r="B204" s="26">
        <v>89.16</v>
      </c>
      <c r="C204" s="26">
        <v>136.69</v>
      </c>
      <c r="D204" s="26">
        <v>766.24</v>
      </c>
      <c r="E204" s="26">
        <v>1758.1</v>
      </c>
      <c r="F204" s="26">
        <v>2269.9699999999998</v>
      </c>
      <c r="G204" s="26">
        <v>4032.02</v>
      </c>
      <c r="H204" s="26">
        <f t="shared" si="382"/>
        <v>6390.22</v>
      </c>
      <c r="I204" s="26"/>
      <c r="M204" s="26">
        <v>1781.45</v>
      </c>
      <c r="N204" s="26">
        <v>1874.78</v>
      </c>
      <c r="O204" s="26">
        <v>1981.87</v>
      </c>
      <c r="P204" s="26">
        <f t="shared" si="383"/>
        <v>2269.9699999999998</v>
      </c>
      <c r="Q204" s="35">
        <v>2469.9</v>
      </c>
      <c r="R204" s="35">
        <v>2895.52</v>
      </c>
      <c r="S204" s="35">
        <v>3404.31</v>
      </c>
      <c r="T204" s="35">
        <f t="shared" si="384"/>
        <v>4032.02</v>
      </c>
      <c r="U204" s="35">
        <v>4641.09</v>
      </c>
      <c r="V204" s="35">
        <v>5238.78</v>
      </c>
      <c r="W204" s="35">
        <v>5820.65</v>
      </c>
      <c r="X204" s="35">
        <v>6390.22</v>
      </c>
      <c r="Y204" s="35">
        <v>6938.21</v>
      </c>
      <c r="Z204" s="35">
        <v>7521.4</v>
      </c>
      <c r="AA204" s="69">
        <f t="shared" si="385"/>
        <v>0.43571594913319522</v>
      </c>
      <c r="AB204" s="69">
        <f t="shared" si="386"/>
        <v>8.4054821056151363E-2</v>
      </c>
      <c r="AC204" s="75"/>
      <c r="AD204" s="118"/>
    </row>
    <row r="205" spans="1:30" x14ac:dyDescent="0.35">
      <c r="A205" s="1" t="s">
        <v>107</v>
      </c>
      <c r="B205" s="26" t="s">
        <v>108</v>
      </c>
      <c r="C205" s="26">
        <v>10.69</v>
      </c>
      <c r="D205" s="26">
        <v>87.08</v>
      </c>
      <c r="E205" s="26">
        <v>473.72</v>
      </c>
      <c r="F205" s="26">
        <v>793.23</v>
      </c>
      <c r="G205" s="26">
        <v>1737.22</v>
      </c>
      <c r="H205" s="26">
        <f t="shared" si="382"/>
        <v>3219.6</v>
      </c>
      <c r="I205" s="26"/>
      <c r="M205" s="26">
        <v>480.32</v>
      </c>
      <c r="N205" s="26">
        <v>533.62</v>
      </c>
      <c r="O205" s="26">
        <v>642.89</v>
      </c>
      <c r="P205" s="26">
        <f t="shared" si="383"/>
        <v>793.23</v>
      </c>
      <c r="Q205" s="35">
        <v>945.57</v>
      </c>
      <c r="R205" s="35">
        <v>1175.31</v>
      </c>
      <c r="S205" s="35">
        <v>1428.36</v>
      </c>
      <c r="T205" s="35">
        <f t="shared" si="384"/>
        <v>1737.22</v>
      </c>
      <c r="U205" s="35">
        <v>2078.19</v>
      </c>
      <c r="V205" s="35">
        <v>2438.52</v>
      </c>
      <c r="W205" s="35">
        <v>2829.85</v>
      </c>
      <c r="X205" s="35">
        <v>3219.6</v>
      </c>
      <c r="Y205" s="35">
        <v>3612.05</v>
      </c>
      <c r="Z205" s="35">
        <v>3940.06</v>
      </c>
      <c r="AA205" s="69">
        <f t="shared" si="385"/>
        <v>0.61575873890720589</v>
      </c>
      <c r="AB205" s="69">
        <f t="shared" si="386"/>
        <v>9.0809927880289409E-2</v>
      </c>
      <c r="AC205" s="75"/>
      <c r="AD205" s="118"/>
    </row>
    <row r="206" spans="1:30" x14ac:dyDescent="0.35">
      <c r="A206" s="1" t="s">
        <v>31</v>
      </c>
      <c r="B206" s="26">
        <v>762.72</v>
      </c>
      <c r="C206" s="26">
        <v>951.4</v>
      </c>
      <c r="D206" s="26">
        <v>2004.13</v>
      </c>
      <c r="E206" s="26">
        <v>3252.92</v>
      </c>
      <c r="F206" s="26">
        <v>3758.87</v>
      </c>
      <c r="G206" s="26">
        <v>4379.08</v>
      </c>
      <c r="H206" s="26">
        <f t="shared" si="382"/>
        <v>5386.06</v>
      </c>
      <c r="I206" s="26"/>
      <c r="M206" s="26">
        <v>3282.39</v>
      </c>
      <c r="N206" s="26">
        <v>3476.23</v>
      </c>
      <c r="O206" s="26">
        <v>3595.59</v>
      </c>
      <c r="P206" s="26">
        <f t="shared" si="383"/>
        <v>3758.87</v>
      </c>
      <c r="Q206" s="35">
        <v>3820.46</v>
      </c>
      <c r="R206" s="35">
        <v>3992.5</v>
      </c>
      <c r="S206" s="35">
        <v>4145.3900000000003</v>
      </c>
      <c r="T206" s="35">
        <f t="shared" si="384"/>
        <v>4379.08</v>
      </c>
      <c r="U206" s="35">
        <v>4569.72</v>
      </c>
      <c r="V206" s="35">
        <v>4853.8599999999997</v>
      </c>
      <c r="W206" s="35">
        <v>5079.97</v>
      </c>
      <c r="X206" s="35">
        <v>5386.06</v>
      </c>
      <c r="Y206" s="35">
        <v>5555.26</v>
      </c>
      <c r="Z206" s="35">
        <v>5852.94</v>
      </c>
      <c r="AA206" s="69">
        <f t="shared" si="385"/>
        <v>0.20583205943311089</v>
      </c>
      <c r="AB206" s="69">
        <f t="shared" si="386"/>
        <v>5.358525073533893E-2</v>
      </c>
      <c r="AC206" s="75"/>
      <c r="AD206" s="118"/>
    </row>
    <row r="207" spans="1:30" x14ac:dyDescent="0.35">
      <c r="A207" s="1" t="s">
        <v>33</v>
      </c>
      <c r="B207" s="26">
        <v>252.97</v>
      </c>
      <c r="C207" s="26">
        <v>408.47</v>
      </c>
      <c r="D207" s="26">
        <v>931.39</v>
      </c>
      <c r="E207" s="26">
        <v>1793.52</v>
      </c>
      <c r="F207" s="26">
        <v>2266.9299999999998</v>
      </c>
      <c r="G207" s="26">
        <v>3053.61</v>
      </c>
      <c r="H207" s="26">
        <f t="shared" si="382"/>
        <v>4097.59</v>
      </c>
      <c r="I207" s="26"/>
      <c r="M207" s="26">
        <v>1813.29</v>
      </c>
      <c r="N207" s="26">
        <v>1909.15</v>
      </c>
      <c r="O207" s="26">
        <v>2105.52</v>
      </c>
      <c r="P207" s="26">
        <f t="shared" si="383"/>
        <v>2266.9299999999998</v>
      </c>
      <c r="Q207" s="35">
        <v>2292.81</v>
      </c>
      <c r="R207" s="35">
        <v>2552.13</v>
      </c>
      <c r="S207" s="35">
        <v>2847.24</v>
      </c>
      <c r="T207" s="35">
        <f t="shared" si="384"/>
        <v>3053.61</v>
      </c>
      <c r="U207" s="35">
        <v>3378.09</v>
      </c>
      <c r="V207" s="35">
        <v>3681.13</v>
      </c>
      <c r="W207" s="35">
        <v>3928.96</v>
      </c>
      <c r="X207" s="35">
        <v>4097.59</v>
      </c>
      <c r="Y207" s="35">
        <v>4448.41</v>
      </c>
      <c r="Z207" s="35">
        <v>4829.59</v>
      </c>
      <c r="AA207" s="69">
        <f t="shared" si="385"/>
        <v>0.31198572177565032</v>
      </c>
      <c r="AB207" s="69">
        <f t="shared" si="386"/>
        <v>8.5689043950535115E-2</v>
      </c>
      <c r="AC207" s="75"/>
      <c r="AD207" s="118"/>
    </row>
    <row r="208" spans="1:30" x14ac:dyDescent="0.35">
      <c r="A208" s="1" t="s">
        <v>105</v>
      </c>
      <c r="B208" s="26">
        <v>126.84</v>
      </c>
      <c r="C208" s="26">
        <v>211.08</v>
      </c>
      <c r="D208" s="26">
        <v>643.71</v>
      </c>
      <c r="E208" s="26">
        <v>1412.91</v>
      </c>
      <c r="F208" s="26">
        <v>1819</v>
      </c>
      <c r="G208" s="26">
        <v>2612.94</v>
      </c>
      <c r="H208" s="26">
        <f t="shared" si="382"/>
        <v>3684.43</v>
      </c>
      <c r="I208" s="26"/>
      <c r="M208" s="26">
        <v>1415.97</v>
      </c>
      <c r="N208" s="26">
        <v>1522.15</v>
      </c>
      <c r="O208" s="26">
        <v>1694.05</v>
      </c>
      <c r="P208" s="26">
        <f t="shared" si="383"/>
        <v>1819</v>
      </c>
      <c r="Q208" s="35">
        <v>1917.65</v>
      </c>
      <c r="R208" s="35">
        <v>2107.66</v>
      </c>
      <c r="S208" s="35">
        <v>2342.39</v>
      </c>
      <c r="T208" s="35">
        <f t="shared" si="384"/>
        <v>2612.94</v>
      </c>
      <c r="U208" s="35">
        <v>2899.71</v>
      </c>
      <c r="V208" s="35">
        <v>3159.08</v>
      </c>
      <c r="W208" s="35">
        <v>3440.8</v>
      </c>
      <c r="X208" s="35">
        <v>3684.43</v>
      </c>
      <c r="Y208" s="35">
        <v>4140.42</v>
      </c>
      <c r="Z208" s="35">
        <v>4635.62</v>
      </c>
      <c r="AA208" s="69">
        <f t="shared" si="385"/>
        <v>0.46739557086240291</v>
      </c>
      <c r="AB208" s="69">
        <f t="shared" si="386"/>
        <v>0.11960139309538631</v>
      </c>
      <c r="AC208" s="75"/>
      <c r="AD208" s="118"/>
    </row>
    <row r="209" spans="1:30" x14ac:dyDescent="0.35">
      <c r="A209" s="1" t="s">
        <v>191</v>
      </c>
      <c r="B209" s="26">
        <v>187.41</v>
      </c>
      <c r="C209" s="26">
        <v>276.49</v>
      </c>
      <c r="D209" s="26">
        <v>482.32</v>
      </c>
      <c r="E209" s="26">
        <v>955.51</v>
      </c>
      <c r="F209" s="26">
        <v>1214.29</v>
      </c>
      <c r="G209" s="26">
        <v>2079.9899999999998</v>
      </c>
      <c r="H209" s="26">
        <f t="shared" si="382"/>
        <v>3612.9</v>
      </c>
      <c r="I209" s="26"/>
      <c r="M209" s="26">
        <v>952.77</v>
      </c>
      <c r="N209" s="26">
        <v>982.69600000000003</v>
      </c>
      <c r="O209" s="26">
        <v>1098.44</v>
      </c>
      <c r="P209" s="26">
        <f t="shared" si="383"/>
        <v>1214.29</v>
      </c>
      <c r="Q209" s="35">
        <v>1277.47</v>
      </c>
      <c r="R209" s="35">
        <v>1505.93</v>
      </c>
      <c r="S209" s="35">
        <v>1795.25</v>
      </c>
      <c r="T209" s="35">
        <f t="shared" si="384"/>
        <v>2079.9899999999998</v>
      </c>
      <c r="U209" s="35">
        <v>2418.75</v>
      </c>
      <c r="V209" s="35">
        <v>2769.15</v>
      </c>
      <c r="W209" s="35">
        <v>3177.73</v>
      </c>
      <c r="X209" s="35">
        <v>3612.9</v>
      </c>
      <c r="Y209" s="35">
        <v>4006.38</v>
      </c>
      <c r="Z209" s="35">
        <v>4480.46</v>
      </c>
      <c r="AA209" s="69">
        <f t="shared" si="385"/>
        <v>0.6179910802953974</v>
      </c>
      <c r="AB209" s="69">
        <f t="shared" si="386"/>
        <v>0.11833126163768792</v>
      </c>
      <c r="AC209" s="75"/>
      <c r="AD209" s="118"/>
    </row>
    <row r="210" spans="1:30" x14ac:dyDescent="0.35">
      <c r="A210" s="1" t="s">
        <v>106</v>
      </c>
      <c r="B210" s="26">
        <v>63.94</v>
      </c>
      <c r="C210" s="26">
        <v>132.63</v>
      </c>
      <c r="D210" s="26">
        <v>203.9</v>
      </c>
      <c r="E210" s="26">
        <v>338.05</v>
      </c>
      <c r="F210" s="26">
        <v>478.14</v>
      </c>
      <c r="G210" s="26">
        <v>820.29</v>
      </c>
      <c r="H210" s="26">
        <f t="shared" si="382"/>
        <v>1319.81</v>
      </c>
      <c r="I210" s="26"/>
      <c r="M210" s="26">
        <v>346.87</v>
      </c>
      <c r="N210" s="26">
        <v>372.71</v>
      </c>
      <c r="O210" s="26">
        <v>425.32</v>
      </c>
      <c r="P210" s="26">
        <f t="shared" si="383"/>
        <v>478.14</v>
      </c>
      <c r="Q210" s="35">
        <v>502.81</v>
      </c>
      <c r="R210" s="35">
        <v>576.16</v>
      </c>
      <c r="S210" s="35">
        <v>703.89</v>
      </c>
      <c r="T210" s="35">
        <f t="shared" si="384"/>
        <v>820.29</v>
      </c>
      <c r="U210" s="35">
        <v>935.54</v>
      </c>
      <c r="V210" s="35">
        <v>1044.9000000000001</v>
      </c>
      <c r="W210" s="35">
        <v>1180.71</v>
      </c>
      <c r="X210" s="35">
        <v>1319.81</v>
      </c>
      <c r="Y210" s="35">
        <v>1461.32</v>
      </c>
      <c r="Z210" s="35">
        <v>1585.85</v>
      </c>
      <c r="AA210" s="69">
        <f t="shared" si="385"/>
        <v>0.51770504354483671</v>
      </c>
      <c r="AB210" s="69">
        <f t="shared" si="386"/>
        <v>8.5217474611994692E-2</v>
      </c>
      <c r="AC210" s="75"/>
      <c r="AD210" s="118"/>
    </row>
    <row r="211" spans="1:30" s="2" customFormat="1" x14ac:dyDescent="0.35">
      <c r="A211" s="1" t="s">
        <v>192</v>
      </c>
      <c r="B211" s="26">
        <v>288.33999999999997</v>
      </c>
      <c r="C211" s="26">
        <v>273.37</v>
      </c>
      <c r="D211" s="26">
        <v>326.3</v>
      </c>
      <c r="E211" s="26">
        <v>381.02</v>
      </c>
      <c r="F211" s="26">
        <v>408.92</v>
      </c>
      <c r="G211" s="26">
        <v>465.41</v>
      </c>
      <c r="H211" s="26">
        <f t="shared" si="382"/>
        <v>587.04999999999995</v>
      </c>
      <c r="I211" s="26"/>
      <c r="J211" s="1"/>
      <c r="K211" s="1"/>
      <c r="L211" s="1"/>
      <c r="M211" s="26">
        <v>373.31</v>
      </c>
      <c r="N211" s="26">
        <v>376.82</v>
      </c>
      <c r="O211" s="26">
        <v>399.82</v>
      </c>
      <c r="P211" s="26">
        <f t="shared" si="383"/>
        <v>408.92</v>
      </c>
      <c r="Q211" s="35">
        <v>407.25</v>
      </c>
      <c r="R211" s="35">
        <v>424.53</v>
      </c>
      <c r="S211" s="35">
        <v>444.17</v>
      </c>
      <c r="T211" s="35">
        <f t="shared" si="384"/>
        <v>465.41</v>
      </c>
      <c r="U211" s="35">
        <v>488.9</v>
      </c>
      <c r="V211" s="35">
        <v>528.46</v>
      </c>
      <c r="W211" s="35">
        <v>558.99</v>
      </c>
      <c r="X211" s="35">
        <v>587.04999999999995</v>
      </c>
      <c r="Y211" s="35">
        <v>601.87</v>
      </c>
      <c r="Z211" s="35">
        <v>664.17</v>
      </c>
      <c r="AA211" s="69">
        <f t="shared" si="385"/>
        <v>0.25680278545206803</v>
      </c>
      <c r="AB211" s="69">
        <f t="shared" si="386"/>
        <v>0.1035107249073719</v>
      </c>
      <c r="AC211" s="75"/>
      <c r="AD211" s="118"/>
    </row>
    <row r="212" spans="1:30" x14ac:dyDescent="0.35">
      <c r="A212" s="2" t="s">
        <v>35</v>
      </c>
      <c r="B212" s="4">
        <f t="shared" ref="B212" si="387">SUM(B201:B211)</f>
        <v>8473.16</v>
      </c>
      <c r="C212" s="4">
        <f t="shared" ref="C212" si="388">SUM(C201:C211)</f>
        <v>13559.32</v>
      </c>
      <c r="D212" s="4">
        <f t="shared" ref="D212" si="389">SUM(D201:D211)</f>
        <v>24435.74</v>
      </c>
      <c r="E212" s="4">
        <f t="shared" ref="E212" si="390">SUM(E201:E211)</f>
        <v>36183.599999999999</v>
      </c>
      <c r="F212" s="4">
        <f t="shared" ref="F212" si="391">SUM(F201:F211)</f>
        <v>41410.720000000001</v>
      </c>
      <c r="G212" s="4">
        <f t="shared" ref="G212:H212" si="392">SUM(G201:G211)</f>
        <v>53803.350000000006</v>
      </c>
      <c r="H212" s="4">
        <f t="shared" si="392"/>
        <v>71979.679999999993</v>
      </c>
      <c r="I212" s="4"/>
      <c r="J212" s="2"/>
      <c r="K212" s="2"/>
      <c r="L212" s="2"/>
      <c r="M212" s="4">
        <f t="shared" ref="M212:U212" si="393">SUM(M201:M211)</f>
        <v>36225.129999999997</v>
      </c>
      <c r="N212" s="4">
        <f t="shared" si="393"/>
        <v>37300.116000000002</v>
      </c>
      <c r="O212" s="4">
        <f t="shared" si="393"/>
        <v>39406.47</v>
      </c>
      <c r="P212" s="4">
        <f t="shared" si="393"/>
        <v>41410.720000000001</v>
      </c>
      <c r="Q212" s="4">
        <f t="shared" si="393"/>
        <v>42942.68</v>
      </c>
      <c r="R212" s="4">
        <f t="shared" si="393"/>
        <v>46170.27</v>
      </c>
      <c r="S212" s="4">
        <f t="shared" si="393"/>
        <v>49940.479999999989</v>
      </c>
      <c r="T212" s="4">
        <f t="shared" si="393"/>
        <v>53803.350000000006</v>
      </c>
      <c r="U212" s="4">
        <f t="shared" si="393"/>
        <v>58318.829999999994</v>
      </c>
      <c r="V212" s="4">
        <f>SUM(V201:V211)</f>
        <v>62754.37</v>
      </c>
      <c r="W212" s="4">
        <f>SUM(W201:W211)</f>
        <v>67511.780000000013</v>
      </c>
      <c r="X212" s="4">
        <f>SUM(X201:X211)</f>
        <v>71979.679999999993</v>
      </c>
      <c r="Y212" s="4">
        <f>SUM(Y201:Y211)</f>
        <v>77758.92</v>
      </c>
      <c r="Z212" s="4">
        <f>SUM(Z201:Z211)</f>
        <v>83654.45</v>
      </c>
      <c r="AA212" s="71">
        <f t="shared" si="385"/>
        <v>0.33304581019616641</v>
      </c>
      <c r="AB212" s="71">
        <f t="shared" si="386"/>
        <v>7.5818054057335216E-2</v>
      </c>
      <c r="AC212" s="76"/>
      <c r="AD212" s="119"/>
    </row>
    <row r="214" spans="1:30" x14ac:dyDescent="0.35">
      <c r="A214" s="1" t="s">
        <v>63</v>
      </c>
      <c r="B214" s="11">
        <f t="shared" ref="B214:F224" si="394">B201/B$212</f>
        <v>0.3304434237049696</v>
      </c>
      <c r="C214" s="11">
        <f t="shared" si="394"/>
        <v>0.38040181956027291</v>
      </c>
      <c r="D214" s="11">
        <f t="shared" si="394"/>
        <v>0.40759395868510634</v>
      </c>
      <c r="E214" s="11">
        <f t="shared" si="394"/>
        <v>0.39728081230170575</v>
      </c>
      <c r="F214" s="11">
        <f t="shared" si="394"/>
        <v>0.38212955485922484</v>
      </c>
      <c r="G214" s="11">
        <f t="shared" ref="G214:H214" si="395">G201/G$212</f>
        <v>0.3602002477540896</v>
      </c>
      <c r="H214" s="11">
        <f t="shared" si="395"/>
        <v>0.32553965230187193</v>
      </c>
      <c r="I214" s="11"/>
      <c r="M214" s="11">
        <f t="shared" ref="M214:P214" si="396">M201/M$212</f>
        <v>0.39583929719506877</v>
      </c>
      <c r="N214" s="11">
        <f t="shared" si="396"/>
        <v>0.38980522205346491</v>
      </c>
      <c r="O214" s="11">
        <f t="shared" si="396"/>
        <v>0.38939671581849378</v>
      </c>
      <c r="P214" s="11">
        <f t="shared" si="396"/>
        <v>0.38212955485922484</v>
      </c>
      <c r="Q214" s="11">
        <f t="shared" ref="Q214:V214" si="397">Q201/Q$212</f>
        <v>0.38160310441733031</v>
      </c>
      <c r="R214" s="11">
        <f t="shared" si="397"/>
        <v>0.37518537361813137</v>
      </c>
      <c r="S214" s="11">
        <f t="shared" si="397"/>
        <v>0.36990994079352069</v>
      </c>
      <c r="T214" s="11">
        <f t="shared" si="397"/>
        <v>0.3602002477540896</v>
      </c>
      <c r="U214" s="11">
        <f t="shared" si="397"/>
        <v>0.35003291389762109</v>
      </c>
      <c r="V214" s="11">
        <f t="shared" si="397"/>
        <v>0.33959340202124572</v>
      </c>
      <c r="W214" s="11">
        <f t="shared" ref="W214:X214" si="398">W201/W$212</f>
        <v>0.33186045457548291</v>
      </c>
      <c r="X214" s="11">
        <f t="shared" si="398"/>
        <v>0.32553965230187193</v>
      </c>
      <c r="Y214" s="11">
        <f t="shared" ref="Y214:Z214" si="399">Y201/Y$212</f>
        <v>0.32606998656874348</v>
      </c>
      <c r="Z214" s="11">
        <f t="shared" si="399"/>
        <v>0.32300636726438342</v>
      </c>
    </row>
    <row r="215" spans="1:30" x14ac:dyDescent="0.35">
      <c r="A215" s="1" t="s">
        <v>64</v>
      </c>
      <c r="B215" s="11">
        <f t="shared" si="394"/>
        <v>0.36562982405619626</v>
      </c>
      <c r="C215" s="11">
        <f t="shared" si="394"/>
        <v>0.35582905337435805</v>
      </c>
      <c r="D215" s="11">
        <f t="shared" si="394"/>
        <v>0.28415304795353036</v>
      </c>
      <c r="E215" s="11">
        <f t="shared" si="394"/>
        <v>0.21687394289125461</v>
      </c>
      <c r="F215" s="11">
        <f t="shared" si="394"/>
        <v>0.19230600192413944</v>
      </c>
      <c r="G215" s="11">
        <f t="shared" ref="G215:H215" si="400">G202/G$212</f>
        <v>0.16111375964507782</v>
      </c>
      <c r="H215" s="11">
        <f t="shared" si="400"/>
        <v>0.14406690888317369</v>
      </c>
      <c r="I215" s="11"/>
      <c r="M215" s="11">
        <f t="shared" ref="M215:P215" si="401">M202/M$212</f>
        <v>0.21495630243424937</v>
      </c>
      <c r="N215" s="11">
        <f t="shared" si="401"/>
        <v>0.20895940377236361</v>
      </c>
      <c r="O215" s="11">
        <f t="shared" si="401"/>
        <v>0.19980094639281315</v>
      </c>
      <c r="P215" s="11">
        <f t="shared" si="401"/>
        <v>0.19230600192413944</v>
      </c>
      <c r="Q215" s="11">
        <f t="shared" ref="Q215" si="402">Q202/Q$212</f>
        <v>0.18669840820367989</v>
      </c>
      <c r="R215" s="11">
        <f t="shared" ref="R215" si="403">R202/R$212</f>
        <v>0.17685774850352837</v>
      </c>
      <c r="S215" s="11">
        <f t="shared" ref="S215" si="404">S202/S$212</f>
        <v>0.1674357154757023</v>
      </c>
      <c r="T215" s="11">
        <f t="shared" ref="T215" si="405">T202/T$212</f>
        <v>0.16111375964507782</v>
      </c>
      <c r="U215" s="11">
        <f t="shared" ref="U215:V224" si="406">U202/U$212</f>
        <v>0.15681916115258143</v>
      </c>
      <c r="V215" s="11">
        <f t="shared" si="406"/>
        <v>0.15183580043907699</v>
      </c>
      <c r="W215" s="11">
        <f t="shared" ref="W215:X215" si="407">W202/W$212</f>
        <v>0.14803564651976289</v>
      </c>
      <c r="X215" s="11">
        <f t="shared" si="407"/>
        <v>0.14406690888317369</v>
      </c>
      <c r="Y215" s="11">
        <f t="shared" ref="Y215:Z215" si="408">Y202/Y$212</f>
        <v>0.13974628248437607</v>
      </c>
      <c r="Z215" s="11">
        <f t="shared" si="408"/>
        <v>0.13598858159966384</v>
      </c>
    </row>
    <row r="216" spans="1:30" x14ac:dyDescent="0.35">
      <c r="A216" s="1" t="s">
        <v>65</v>
      </c>
      <c r="B216" s="11">
        <f t="shared" si="394"/>
        <v>9.4868974503018955E-2</v>
      </c>
      <c r="C216" s="11">
        <f t="shared" si="394"/>
        <v>8.6708625506293824E-2</v>
      </c>
      <c r="D216" s="11">
        <f t="shared" si="394"/>
        <v>8.5420781199996396E-2</v>
      </c>
      <c r="E216" s="11">
        <f t="shared" si="394"/>
        <v>9.9368774804054885E-2</v>
      </c>
      <c r="F216" s="11">
        <f t="shared" si="394"/>
        <v>0.11141028216848198</v>
      </c>
      <c r="G216" s="11">
        <f t="shared" ref="G216:H216" si="409">G203/G$212</f>
        <v>0.12219220550393237</v>
      </c>
      <c r="H216" s="11">
        <f t="shared" si="409"/>
        <v>0.13725943210639446</v>
      </c>
      <c r="I216" s="11"/>
      <c r="M216" s="11">
        <f t="shared" ref="M216:P216" si="410">M203/M$212</f>
        <v>0.10083083207706917</v>
      </c>
      <c r="N216" s="11">
        <f t="shared" si="410"/>
        <v>0.10503908352456597</v>
      </c>
      <c r="O216" s="11">
        <f t="shared" si="410"/>
        <v>0.10771759053779748</v>
      </c>
      <c r="P216" s="11">
        <f t="shared" si="410"/>
        <v>0.11141028216848198</v>
      </c>
      <c r="Q216" s="11">
        <f t="shared" ref="Q216" si="411">Q203/Q$212</f>
        <v>0.11420735734239222</v>
      </c>
      <c r="R216" s="11">
        <f t="shared" ref="R216" si="412">R203/R$212</f>
        <v>0.11809655867292958</v>
      </c>
      <c r="S216" s="11">
        <f t="shared" ref="S216" si="413">S203/S$212</f>
        <v>0.1200264795212221</v>
      </c>
      <c r="T216" s="11">
        <f t="shared" ref="T216" si="414">T203/T$212</f>
        <v>0.12219220550393237</v>
      </c>
      <c r="U216" s="11">
        <f t="shared" si="406"/>
        <v>0.12602824850910074</v>
      </c>
      <c r="V216" s="11">
        <f t="shared" si="406"/>
        <v>0.13068667568489653</v>
      </c>
      <c r="W216" s="11">
        <f t="shared" ref="W216:X216" si="415">W203/W$212</f>
        <v>0.13472433995963368</v>
      </c>
      <c r="X216" s="11">
        <f t="shared" si="415"/>
        <v>0.13725943210639446</v>
      </c>
      <c r="Y216" s="11">
        <f t="shared" ref="Y216:Z216" si="416">Y203/Y$212</f>
        <v>0.13855169284758584</v>
      </c>
      <c r="Z216" s="11">
        <f t="shared" si="416"/>
        <v>0.14042755645396029</v>
      </c>
    </row>
    <row r="217" spans="1:30" x14ac:dyDescent="0.35">
      <c r="A217" s="1" t="s">
        <v>32</v>
      </c>
      <c r="B217" s="11">
        <f t="shared" si="394"/>
        <v>1.0522638543353365E-2</v>
      </c>
      <c r="C217" s="11">
        <f t="shared" si="394"/>
        <v>1.0080889012133352E-2</v>
      </c>
      <c r="D217" s="11">
        <f t="shared" si="394"/>
        <v>3.1357347884696761E-2</v>
      </c>
      <c r="E217" s="11">
        <f t="shared" si="394"/>
        <v>4.8588310726406438E-2</v>
      </c>
      <c r="F217" s="11">
        <f t="shared" si="394"/>
        <v>5.4815999335437772E-2</v>
      </c>
      <c r="G217" s="11">
        <f t="shared" ref="G217:H217" si="417">G204/G$212</f>
        <v>7.4939943330666212E-2</v>
      </c>
      <c r="H217" s="11">
        <f t="shared" si="417"/>
        <v>8.8778110711245181E-2</v>
      </c>
      <c r="I217" s="11"/>
      <c r="M217" s="11">
        <f t="shared" ref="M217:P217" si="418">M204/M$212</f>
        <v>4.9177187217823652E-2</v>
      </c>
      <c r="N217" s="11">
        <f t="shared" si="418"/>
        <v>5.0262042080512562E-2</v>
      </c>
      <c r="O217" s="11">
        <f t="shared" si="418"/>
        <v>5.0293010259482768E-2</v>
      </c>
      <c r="P217" s="11">
        <f t="shared" si="418"/>
        <v>5.4815999335437772E-2</v>
      </c>
      <c r="Q217" s="11">
        <f t="shared" ref="Q217" si="419">Q204/Q$212</f>
        <v>5.7516205323002667E-2</v>
      </c>
      <c r="R217" s="11">
        <f t="shared" ref="R217" si="420">R204/R$212</f>
        <v>6.2713949907592048E-2</v>
      </c>
      <c r="S217" s="11">
        <f t="shared" ref="S217" si="421">S204/S$212</f>
        <v>6.8167346409165483E-2</v>
      </c>
      <c r="T217" s="11">
        <f t="shared" ref="T217" si="422">T204/T$212</f>
        <v>7.4939943330666212E-2</v>
      </c>
      <c r="U217" s="11">
        <f t="shared" si="406"/>
        <v>7.9581329049296781E-2</v>
      </c>
      <c r="V217" s="11">
        <f t="shared" si="406"/>
        <v>8.3480720147457457E-2</v>
      </c>
      <c r="W217" s="11">
        <f t="shared" ref="W217:X217" si="423">W204/W$212</f>
        <v>8.6216805422698065E-2</v>
      </c>
      <c r="X217" s="11">
        <f t="shared" si="423"/>
        <v>8.8778110711245181E-2</v>
      </c>
      <c r="Y217" s="11">
        <f t="shared" ref="Y217:Z217" si="424">Y204/Y$212</f>
        <v>8.9227190912630996E-2</v>
      </c>
      <c r="Z217" s="11">
        <f t="shared" si="424"/>
        <v>8.9910339497779254E-2</v>
      </c>
    </row>
    <row r="218" spans="1:30" x14ac:dyDescent="0.35">
      <c r="A218" s="1" t="s">
        <v>107</v>
      </c>
      <c r="B218" s="11"/>
      <c r="C218" s="11">
        <f t="shared" si="394"/>
        <v>7.8838761825814269E-4</v>
      </c>
      <c r="D218" s="11">
        <f t="shared" si="394"/>
        <v>3.5636326135406577E-3</v>
      </c>
      <c r="E218" s="11">
        <f t="shared" si="394"/>
        <v>1.3092119081572869E-2</v>
      </c>
      <c r="F218" s="11">
        <f t="shared" si="394"/>
        <v>1.9155184937620019E-2</v>
      </c>
      <c r="G218" s="11">
        <f t="shared" ref="G218:H218" si="425">G205/G$212</f>
        <v>3.2288324054171348E-2</v>
      </c>
      <c r="H218" s="11">
        <f t="shared" si="425"/>
        <v>4.4729290266364068E-2</v>
      </c>
      <c r="I218" s="11"/>
      <c r="M218" s="11">
        <f t="shared" ref="M218:P218" si="426">M205/M$212</f>
        <v>1.325930369332008E-2</v>
      </c>
      <c r="N218" s="11">
        <f t="shared" si="426"/>
        <v>1.4306121728951191E-2</v>
      </c>
      <c r="O218" s="11">
        <f t="shared" si="426"/>
        <v>1.6314326048488991E-2</v>
      </c>
      <c r="P218" s="11">
        <f t="shared" si="426"/>
        <v>1.9155184937620019E-2</v>
      </c>
      <c r="Q218" s="11">
        <f t="shared" ref="Q218" si="427">Q205/Q$212</f>
        <v>2.2019352308705466E-2</v>
      </c>
      <c r="R218" s="11">
        <f t="shared" ref="R218" si="428">R205/R$212</f>
        <v>2.5455991485429909E-2</v>
      </c>
      <c r="S218" s="11">
        <f t="shared" ref="S218" si="429">S205/S$212</f>
        <v>2.8601246924338738E-2</v>
      </c>
      <c r="T218" s="11">
        <f t="shared" ref="T218" si="430">T205/T$212</f>
        <v>3.2288324054171348E-2</v>
      </c>
      <c r="U218" s="11">
        <f t="shared" si="406"/>
        <v>3.5634974158432198E-2</v>
      </c>
      <c r="V218" s="11">
        <f t="shared" si="406"/>
        <v>3.8858170355307524E-2</v>
      </c>
      <c r="W218" s="11">
        <f t="shared" ref="W218:X218" si="431">W205/W$212</f>
        <v>4.1916388517677941E-2</v>
      </c>
      <c r="X218" s="11">
        <f t="shared" si="431"/>
        <v>4.4729290266364068E-2</v>
      </c>
      <c r="Y218" s="11">
        <f t="shared" ref="Y218:Z218" si="432">Y205/Y$212</f>
        <v>4.6451905453419366E-2</v>
      </c>
      <c r="Z218" s="11">
        <f t="shared" si="432"/>
        <v>4.7099227835458841E-2</v>
      </c>
    </row>
    <row r="219" spans="1:30" x14ac:dyDescent="0.35">
      <c r="A219" s="1" t="s">
        <v>31</v>
      </c>
      <c r="B219" s="11">
        <f t="shared" si="394"/>
        <v>9.0016003474500658E-2</v>
      </c>
      <c r="C219" s="11">
        <f t="shared" si="394"/>
        <v>7.0165760524864076E-2</v>
      </c>
      <c r="D219" s="11">
        <f t="shared" si="394"/>
        <v>8.2016341637290296E-2</v>
      </c>
      <c r="E219" s="11">
        <f t="shared" si="394"/>
        <v>8.990039686487801E-2</v>
      </c>
      <c r="F219" s="11">
        <f t="shared" si="394"/>
        <v>9.0770457504723415E-2</v>
      </c>
      <c r="G219" s="11">
        <f t="shared" ref="G219:H219" si="433">G206/G$212</f>
        <v>8.1390471039442705E-2</v>
      </c>
      <c r="H219" s="11">
        <f t="shared" si="433"/>
        <v>7.4827506874162272E-2</v>
      </c>
      <c r="I219" s="11"/>
      <c r="M219" s="11">
        <f t="shared" ref="M219:P219" si="434">M206/M$212</f>
        <v>9.061085495069307E-2</v>
      </c>
      <c r="N219" s="11">
        <f t="shared" si="434"/>
        <v>9.3196224912544506E-2</v>
      </c>
      <c r="O219" s="11">
        <f t="shared" si="434"/>
        <v>9.1243646030715261E-2</v>
      </c>
      <c r="P219" s="11">
        <f t="shared" si="434"/>
        <v>9.0770457504723415E-2</v>
      </c>
      <c r="Q219" s="11">
        <f t="shared" ref="Q219" si="435">Q206/Q$212</f>
        <v>8.896650139208824E-2</v>
      </c>
      <c r="R219" s="11">
        <f t="shared" ref="R219" si="436">R206/R$212</f>
        <v>8.6473395109017123E-2</v>
      </c>
      <c r="S219" s="11">
        <f t="shared" ref="S219" si="437">S206/S$212</f>
        <v>8.3006611069817535E-2</v>
      </c>
      <c r="T219" s="11">
        <f t="shared" ref="T219" si="438">T206/T$212</f>
        <v>8.1390471039442705E-2</v>
      </c>
      <c r="U219" s="11">
        <f t="shared" si="406"/>
        <v>7.8357539065855755E-2</v>
      </c>
      <c r="V219" s="11">
        <f t="shared" si="406"/>
        <v>7.7346964044097632E-2</v>
      </c>
      <c r="W219" s="11">
        <f t="shared" ref="W219:X219" si="439">W206/W$212</f>
        <v>7.5245683049684056E-2</v>
      </c>
      <c r="X219" s="11">
        <f t="shared" si="439"/>
        <v>7.4827506874162272E-2</v>
      </c>
      <c r="Y219" s="11">
        <f t="shared" ref="Y219:Z219" si="440">Y206/Y$212</f>
        <v>7.1442093074337965E-2</v>
      </c>
      <c r="Z219" s="11">
        <f t="shared" si="440"/>
        <v>6.9965674270765027E-2</v>
      </c>
    </row>
    <row r="220" spans="1:30" x14ac:dyDescent="0.35">
      <c r="A220" s="1" t="s">
        <v>33</v>
      </c>
      <c r="B220" s="11">
        <f t="shared" si="394"/>
        <v>2.9855449442710867E-2</v>
      </c>
      <c r="C220" s="11">
        <f t="shared" si="394"/>
        <v>3.0124667018700056E-2</v>
      </c>
      <c r="D220" s="11">
        <f t="shared" si="394"/>
        <v>3.8115890904061013E-2</v>
      </c>
      <c r="E220" s="11">
        <f t="shared" si="394"/>
        <v>4.9567207243060393E-2</v>
      </c>
      <c r="F220" s="11">
        <f t="shared" si="394"/>
        <v>5.4742588392570804E-2</v>
      </c>
      <c r="G220" s="11">
        <f t="shared" ref="G220:H220" si="441">G207/G$212</f>
        <v>5.6755016183936496E-2</v>
      </c>
      <c r="H220" s="11">
        <f t="shared" si="441"/>
        <v>5.6927038297475072E-2</v>
      </c>
      <c r="I220" s="11"/>
      <c r="M220" s="11">
        <f t="shared" ref="M220:P220" si="442">M207/M$212</f>
        <v>5.00561350642496E-2</v>
      </c>
      <c r="N220" s="11">
        <f t="shared" si="442"/>
        <v>5.1183486936072796E-2</v>
      </c>
      <c r="O220" s="11">
        <f t="shared" si="442"/>
        <v>5.3430819862829632E-2</v>
      </c>
      <c r="P220" s="11">
        <f t="shared" si="442"/>
        <v>5.4742588392570804E-2</v>
      </c>
      <c r="Q220" s="11">
        <f t="shared" ref="Q220" si="443">Q207/Q$212</f>
        <v>5.3392336016289621E-2</v>
      </c>
      <c r="R220" s="11">
        <f t="shared" ref="R220" si="444">R207/R$212</f>
        <v>5.5276479864640175E-2</v>
      </c>
      <c r="S220" s="11">
        <f t="shared" ref="S220" si="445">S207/S$212</f>
        <v>5.7012667879844173E-2</v>
      </c>
      <c r="T220" s="11">
        <f t="shared" ref="T220" si="446">T207/T$212</f>
        <v>5.6755016183936496E-2</v>
      </c>
      <c r="U220" s="11">
        <f t="shared" si="406"/>
        <v>5.7924515975371939E-2</v>
      </c>
      <c r="V220" s="11">
        <f t="shared" si="406"/>
        <v>5.8659341174168426E-2</v>
      </c>
      <c r="W220" s="11">
        <f t="shared" ref="W220:X220" si="447">W207/W$212</f>
        <v>5.8196658420204585E-2</v>
      </c>
      <c r="X220" s="11">
        <f t="shared" si="447"/>
        <v>5.6927038297475072E-2</v>
      </c>
      <c r="Y220" s="11">
        <f t="shared" ref="Y220:Z220" si="448">Y207/Y$212</f>
        <v>5.7207713275853112E-2</v>
      </c>
      <c r="Z220" s="11">
        <f t="shared" si="448"/>
        <v>5.7732613148493601E-2</v>
      </c>
    </row>
    <row r="221" spans="1:30" x14ac:dyDescent="0.35">
      <c r="A221" s="1" t="s">
        <v>105</v>
      </c>
      <c r="B221" s="11">
        <f t="shared" si="394"/>
        <v>1.4969621723182379E-2</v>
      </c>
      <c r="C221" s="11">
        <f t="shared" si="394"/>
        <v>1.5567152335072852E-2</v>
      </c>
      <c r="D221" s="11">
        <f t="shared" si="394"/>
        <v>2.6342971401725507E-2</v>
      </c>
      <c r="E221" s="11">
        <f t="shared" si="394"/>
        <v>3.9048353397671876E-2</v>
      </c>
      <c r="F221" s="11">
        <f t="shared" si="394"/>
        <v>4.3925824037833683E-2</v>
      </c>
      <c r="G221" s="11">
        <f t="shared" ref="G221:H221" si="449">G208/G$212</f>
        <v>4.8564633986545445E-2</v>
      </c>
      <c r="H221" s="11">
        <f t="shared" si="449"/>
        <v>5.1187085021772813E-2</v>
      </c>
      <c r="I221" s="11"/>
      <c r="M221" s="11">
        <f t="shared" ref="M221:P221" si="450">M208/M$212</f>
        <v>3.9088058483157967E-2</v>
      </c>
      <c r="N221" s="11">
        <f t="shared" si="450"/>
        <v>4.0808184081786769E-2</v>
      </c>
      <c r="O221" s="11">
        <f t="shared" si="450"/>
        <v>4.2989133510309342E-2</v>
      </c>
      <c r="P221" s="11">
        <f t="shared" si="450"/>
        <v>4.3925824037833683E-2</v>
      </c>
      <c r="Q221" s="11">
        <f t="shared" ref="Q221" si="451">Q208/Q$212</f>
        <v>4.4656039166628636E-2</v>
      </c>
      <c r="R221" s="11">
        <f t="shared" ref="R221" si="452">R208/R$212</f>
        <v>4.5649722213017163E-2</v>
      </c>
      <c r="S221" s="11">
        <f t="shared" ref="S221" si="453">S208/S$212</f>
        <v>4.6903634086015999E-2</v>
      </c>
      <c r="T221" s="11">
        <f t="shared" ref="T221" si="454">T208/T$212</f>
        <v>4.8564633986545445E-2</v>
      </c>
      <c r="U221" s="11">
        <f t="shared" si="406"/>
        <v>4.9721676515115276E-2</v>
      </c>
      <c r="V221" s="11">
        <f t="shared" si="406"/>
        <v>5.0340398604909901E-2</v>
      </c>
      <c r="W221" s="11">
        <f t="shared" ref="W221:X221" si="455">W208/W$212</f>
        <v>5.0965920317905991E-2</v>
      </c>
      <c r="X221" s="11">
        <f t="shared" si="455"/>
        <v>5.1187085021772813E-2</v>
      </c>
      <c r="Y221" s="11">
        <f t="shared" ref="Y221:Z221" si="456">Y208/Y$212</f>
        <v>5.3246881515329691E-2</v>
      </c>
      <c r="Z221" s="11">
        <f t="shared" si="456"/>
        <v>5.541390804673272E-2</v>
      </c>
    </row>
    <row r="222" spans="1:30" x14ac:dyDescent="0.35">
      <c r="A222" s="1" t="s">
        <v>191</v>
      </c>
      <c r="B222" s="11">
        <f t="shared" si="394"/>
        <v>2.2118076372923443E-2</v>
      </c>
      <c r="C222" s="11">
        <f t="shared" si="394"/>
        <v>2.0391140558671084E-2</v>
      </c>
      <c r="D222" s="11">
        <f t="shared" si="394"/>
        <v>1.9738301356946829E-2</v>
      </c>
      <c r="E222" s="11">
        <f t="shared" si="394"/>
        <v>2.6407267380802353E-2</v>
      </c>
      <c r="F222" s="11">
        <f t="shared" si="394"/>
        <v>2.9323083491424443E-2</v>
      </c>
      <c r="G222" s="11">
        <f t="shared" ref="G222:H222" si="457">G209/G$212</f>
        <v>3.8659116950896175E-2</v>
      </c>
      <c r="H222" s="11">
        <f t="shared" si="457"/>
        <v>5.0193332340460535E-2</v>
      </c>
      <c r="I222" s="11"/>
      <c r="M222" s="11">
        <f t="shared" ref="M222:P222" si="458">M209/M$212</f>
        <v>2.6301354888167414E-2</v>
      </c>
      <c r="N222" s="11">
        <f t="shared" si="458"/>
        <v>2.634565533254642E-2</v>
      </c>
      <c r="O222" s="11">
        <f t="shared" si="458"/>
        <v>2.7874610438336649E-2</v>
      </c>
      <c r="P222" s="11">
        <f t="shared" si="458"/>
        <v>2.9323083491424443E-2</v>
      </c>
      <c r="Q222" s="11">
        <f t="shared" ref="Q222" si="459">Q209/Q$212</f>
        <v>2.9748259773260542E-2</v>
      </c>
      <c r="R222" s="11">
        <f t="shared" ref="R222" si="460">R209/R$212</f>
        <v>3.2616876617788899E-2</v>
      </c>
      <c r="S222" s="11">
        <f t="shared" ref="S222" si="461">S209/S$212</f>
        <v>3.5947792251896662E-2</v>
      </c>
      <c r="T222" s="11">
        <f t="shared" ref="T222" si="462">T209/T$212</f>
        <v>3.8659116950896175E-2</v>
      </c>
      <c r="U222" s="11">
        <f t="shared" si="406"/>
        <v>4.1474597484208793E-2</v>
      </c>
      <c r="V222" s="11">
        <f t="shared" si="406"/>
        <v>4.4126807423929201E-2</v>
      </c>
      <c r="W222" s="11">
        <f t="shared" ref="W222:X222" si="463">W209/W$212</f>
        <v>4.7069267022732911E-2</v>
      </c>
      <c r="X222" s="11">
        <f t="shared" si="463"/>
        <v>5.0193332340460535E-2</v>
      </c>
      <c r="Y222" s="11">
        <f t="shared" ref="Y222:Z222" si="464">Y209/Y$212</f>
        <v>5.152309214171185E-2</v>
      </c>
      <c r="Z222" s="11">
        <f t="shared" si="464"/>
        <v>5.3559135228311225E-2</v>
      </c>
    </row>
    <row r="223" spans="1:30" x14ac:dyDescent="0.35">
      <c r="A223" s="1" t="s">
        <v>106</v>
      </c>
      <c r="B223" s="11">
        <f t="shared" si="394"/>
        <v>7.5461811177884048E-3</v>
      </c>
      <c r="C223" s="11">
        <f t="shared" si="394"/>
        <v>9.781463967219595E-3</v>
      </c>
      <c r="D223" s="11">
        <f t="shared" si="394"/>
        <v>8.3443349781917794E-3</v>
      </c>
      <c r="E223" s="11">
        <f t="shared" si="394"/>
        <v>9.3426303629268511E-3</v>
      </c>
      <c r="F223" s="11">
        <f t="shared" si="394"/>
        <v>1.1546285599477622E-2</v>
      </c>
      <c r="G223" s="11">
        <f t="shared" ref="G223:H223" si="465">G210/G$212</f>
        <v>1.5246076684816092E-2</v>
      </c>
      <c r="H223" s="11">
        <f t="shared" si="465"/>
        <v>1.83358692342061E-2</v>
      </c>
      <c r="I223" s="11"/>
      <c r="M223" s="11">
        <f t="shared" ref="M223:P223" si="466">M210/M$212</f>
        <v>9.5753969688997676E-3</v>
      </c>
      <c r="N223" s="11">
        <f t="shared" si="466"/>
        <v>9.9921941261523137E-3</v>
      </c>
      <c r="O223" s="11">
        <f t="shared" si="466"/>
        <v>1.0793151479947328E-2</v>
      </c>
      <c r="P223" s="11">
        <f t="shared" si="466"/>
        <v>1.1546285599477622E-2</v>
      </c>
      <c r="Q223" s="11">
        <f t="shared" ref="Q223" si="467">Q210/Q$212</f>
        <v>1.1708864001967273E-2</v>
      </c>
      <c r="R223" s="11">
        <f t="shared" ref="R223" si="468">R210/R$212</f>
        <v>1.2479026005262694E-2</v>
      </c>
      <c r="S223" s="11">
        <f t="shared" ref="S223" si="469">S210/S$212</f>
        <v>1.4094578185872465E-2</v>
      </c>
      <c r="T223" s="11">
        <f t="shared" ref="T223" si="470">T210/T$212</f>
        <v>1.5246076684816092E-2</v>
      </c>
      <c r="U223" s="11">
        <f t="shared" si="406"/>
        <v>1.6041817025478737E-2</v>
      </c>
      <c r="V223" s="11">
        <f t="shared" si="406"/>
        <v>1.6650633254704016E-2</v>
      </c>
      <c r="W223" s="11">
        <f t="shared" ref="W223:X223" si="471">W210/W$212</f>
        <v>1.7488947854729941E-2</v>
      </c>
      <c r="X223" s="11">
        <f t="shared" si="471"/>
        <v>1.83358692342061E-2</v>
      </c>
      <c r="Y223" s="11">
        <f t="shared" ref="Y223:Z223" si="472">Y210/Y$212</f>
        <v>1.8792956486535565E-2</v>
      </c>
      <c r="Z223" s="11">
        <f t="shared" si="472"/>
        <v>1.8957150516200873E-2</v>
      </c>
    </row>
    <row r="224" spans="1:30" x14ac:dyDescent="0.35">
      <c r="A224" s="1" t="s">
        <v>192</v>
      </c>
      <c r="B224" s="11">
        <f t="shared" si="394"/>
        <v>3.4029807061356089E-2</v>
      </c>
      <c r="C224" s="11">
        <f t="shared" si="394"/>
        <v>2.0161040524156078E-2</v>
      </c>
      <c r="D224" s="11">
        <f t="shared" si="394"/>
        <v>1.3353391384914063E-2</v>
      </c>
      <c r="E224" s="11">
        <f t="shared" si="394"/>
        <v>1.0530184945665991E-2</v>
      </c>
      <c r="F224" s="11">
        <f t="shared" si="394"/>
        <v>9.8747377490659427E-3</v>
      </c>
      <c r="G224" s="11">
        <f t="shared" ref="G224:H224" si="473">G211/G$212</f>
        <v>8.650204866425603E-3</v>
      </c>
      <c r="H224" s="11">
        <f t="shared" si="473"/>
        <v>8.1557739628739662E-3</v>
      </c>
      <c r="I224" s="11"/>
      <c r="M224" s="11">
        <f t="shared" ref="M224:P224" si="474">M211/M$212</f>
        <v>1.0305277027301215E-2</v>
      </c>
      <c r="N224" s="11">
        <f t="shared" si="474"/>
        <v>1.0102381451038919E-2</v>
      </c>
      <c r="O224" s="11">
        <f t="shared" si="474"/>
        <v>1.0146049620785622E-2</v>
      </c>
      <c r="P224" s="11">
        <f t="shared" si="474"/>
        <v>9.8747377490659427E-3</v>
      </c>
      <c r="Q224" s="11">
        <f t="shared" ref="Q224" si="475">Q211/Q$212</f>
        <v>9.4835720546551823E-3</v>
      </c>
      <c r="R224" s="11">
        <f t="shared" ref="R224" si="476">R211/R$212</f>
        <v>9.194878002662752E-3</v>
      </c>
      <c r="S224" s="11">
        <f t="shared" ref="S224" si="477">S211/S$212</f>
        <v>8.893987402604062E-3</v>
      </c>
      <c r="T224" s="11">
        <f t="shared" ref="T224" si="478">T211/T$212</f>
        <v>8.650204866425603E-3</v>
      </c>
      <c r="U224" s="11">
        <f t="shared" si="406"/>
        <v>8.3832271669373338E-3</v>
      </c>
      <c r="V224" s="11">
        <f t="shared" si="406"/>
        <v>8.4210868502066077E-3</v>
      </c>
      <c r="W224" s="11">
        <f t="shared" ref="W224:X224" si="479">W211/W$212</f>
        <v>8.2798883394868267E-3</v>
      </c>
      <c r="X224" s="11">
        <f t="shared" si="479"/>
        <v>8.1557739628739662E-3</v>
      </c>
      <c r="Y224" s="11">
        <f t="shared" ref="Y224:Z224" si="480">Y211/Y$212</f>
        <v>7.7402052394760631E-3</v>
      </c>
      <c r="Z224" s="11">
        <f t="shared" si="480"/>
        <v>7.9394461382508632E-3</v>
      </c>
    </row>
    <row r="225" spans="1:30" s="2" customFormat="1" x14ac:dyDescent="0.35">
      <c r="A225" s="2" t="s">
        <v>35</v>
      </c>
      <c r="B225" s="12">
        <f t="shared" ref="B225:F225" si="481">SUM(B214:B224)</f>
        <v>1</v>
      </c>
      <c r="C225" s="12">
        <f t="shared" si="481"/>
        <v>1.0000000000000002</v>
      </c>
      <c r="D225" s="12">
        <f t="shared" si="481"/>
        <v>1</v>
      </c>
      <c r="E225" s="12">
        <f t="shared" si="481"/>
        <v>1</v>
      </c>
      <c r="F225" s="12">
        <f t="shared" si="481"/>
        <v>1</v>
      </c>
      <c r="G225" s="12">
        <f t="shared" ref="G225:H225" si="482">SUM(G214:G224)</f>
        <v>1</v>
      </c>
      <c r="H225" s="12">
        <f t="shared" si="482"/>
        <v>1</v>
      </c>
      <c r="I225" s="12"/>
      <c r="M225" s="12">
        <f t="shared" ref="M225:P225" si="483">SUM(M214:M224)</f>
        <v>1</v>
      </c>
      <c r="N225" s="12">
        <f t="shared" si="483"/>
        <v>0.99999999999999989</v>
      </c>
      <c r="O225" s="12">
        <f t="shared" si="483"/>
        <v>0.99999999999999978</v>
      </c>
      <c r="P225" s="12">
        <f t="shared" si="483"/>
        <v>1</v>
      </c>
      <c r="Q225" s="12">
        <f t="shared" ref="Q225" si="484">SUM(Q214:Q224)</f>
        <v>1</v>
      </c>
      <c r="R225" s="12">
        <f t="shared" ref="R225" si="485">SUM(R214:R224)</f>
        <v>0.99999999999999989</v>
      </c>
      <c r="S225" s="12">
        <f t="shared" ref="S225" si="486">SUM(S214:S224)</f>
        <v>1.0000000000000002</v>
      </c>
      <c r="T225" s="12">
        <f t="shared" ref="T225" si="487">SUM(T214:T224)</f>
        <v>1</v>
      </c>
      <c r="U225" s="12">
        <f t="shared" ref="U225" si="488">SUM(U214:U224)</f>
        <v>1.0000000000000002</v>
      </c>
      <c r="V225" s="12">
        <f t="shared" ref="V225:W225" si="489">SUM(V214:V224)</f>
        <v>1</v>
      </c>
      <c r="W225" s="12">
        <f t="shared" si="489"/>
        <v>0.99999999999999989</v>
      </c>
      <c r="X225" s="12">
        <f t="shared" ref="X225:Y225" si="490">SUM(X214:X224)</f>
        <v>1</v>
      </c>
      <c r="Y225" s="12">
        <f t="shared" si="490"/>
        <v>1</v>
      </c>
      <c r="Z225" s="12">
        <f t="shared" ref="Z225" si="491">SUM(Z214:Z224)</f>
        <v>1</v>
      </c>
      <c r="AA225" s="70"/>
      <c r="AB225" s="70"/>
      <c r="AC225" s="70"/>
    </row>
    <row r="226" spans="1:30" s="2" customFormat="1" x14ac:dyDescent="0.35">
      <c r="B226" s="4"/>
      <c r="C226" s="4"/>
      <c r="D226" s="4"/>
      <c r="E226" s="4"/>
      <c r="F226" s="4"/>
      <c r="G226" s="4"/>
      <c r="H226" s="4"/>
      <c r="I226" s="4"/>
      <c r="M226" s="4"/>
      <c r="N226" s="4"/>
      <c r="O226" s="34"/>
      <c r="P226" s="4"/>
      <c r="Q226" s="4"/>
      <c r="R226" s="34"/>
      <c r="S226" s="34"/>
      <c r="T226" s="34"/>
      <c r="U226" s="34"/>
      <c r="V226" s="34"/>
      <c r="W226" s="34"/>
      <c r="X226" s="34"/>
      <c r="Y226" s="34"/>
      <c r="Z226" s="34"/>
      <c r="AA226" s="70"/>
      <c r="AB226" s="70"/>
      <c r="AC226" s="70"/>
    </row>
    <row r="227" spans="1:30" s="5" customFormat="1" x14ac:dyDescent="0.35">
      <c r="A227" s="5" t="s">
        <v>113</v>
      </c>
      <c r="B227" s="22" t="str">
        <f t="shared" ref="B227:H227" si="492">B$1</f>
        <v>FY17</v>
      </c>
      <c r="C227" s="22" t="str">
        <f t="shared" si="492"/>
        <v>FY18</v>
      </c>
      <c r="D227" s="22" t="str">
        <f t="shared" si="492"/>
        <v>FY19</v>
      </c>
      <c r="E227" s="22" t="str">
        <f t="shared" si="492"/>
        <v>FY20</v>
      </c>
      <c r="F227" s="22" t="str">
        <f t="shared" si="492"/>
        <v>FY21</v>
      </c>
      <c r="G227" s="22" t="str">
        <f t="shared" si="492"/>
        <v>FY22</v>
      </c>
      <c r="H227" s="22" t="str">
        <f t="shared" si="492"/>
        <v>FY23</v>
      </c>
      <c r="I227" s="22"/>
      <c r="M227" s="6" t="str">
        <f t="shared" ref="M227:AB227" si="493">M$1</f>
        <v>Q1FY21</v>
      </c>
      <c r="N227" s="6" t="str">
        <f t="shared" si="493"/>
        <v>Q2FY21</v>
      </c>
      <c r="O227" s="80" t="str">
        <f t="shared" si="493"/>
        <v>Q3FY21</v>
      </c>
      <c r="P227" s="6" t="str">
        <f t="shared" si="493"/>
        <v>Q4FY21</v>
      </c>
      <c r="Q227" s="6" t="str">
        <f t="shared" si="493"/>
        <v>Q1FY22</v>
      </c>
      <c r="R227" s="80" t="str">
        <f t="shared" si="493"/>
        <v>Q2FY22</v>
      </c>
      <c r="S227" s="80" t="str">
        <f t="shared" si="493"/>
        <v>Q3FY22</v>
      </c>
      <c r="T227" s="80" t="str">
        <f t="shared" si="493"/>
        <v>Q4FY22</v>
      </c>
      <c r="U227" s="80" t="str">
        <f t="shared" si="493"/>
        <v>Q1FY23</v>
      </c>
      <c r="V227" s="80" t="str">
        <f t="shared" si="493"/>
        <v>Q2FY23</v>
      </c>
      <c r="W227" s="80" t="str">
        <f t="shared" si="493"/>
        <v>Q3FY23</v>
      </c>
      <c r="X227" s="80" t="str">
        <f t="shared" si="493"/>
        <v>Q4FY23</v>
      </c>
      <c r="Y227" s="80" t="str">
        <f t="shared" si="493"/>
        <v>Q1FY24</v>
      </c>
      <c r="Z227" s="80" t="str">
        <f t="shared" si="493"/>
        <v>Q2FY24</v>
      </c>
      <c r="AA227" s="6" t="str">
        <f t="shared" si="493"/>
        <v>y-o-y</v>
      </c>
      <c r="AB227" s="6" t="str">
        <f t="shared" si="493"/>
        <v>q-o-q</v>
      </c>
      <c r="AC227" s="6"/>
    </row>
    <row r="228" spans="1:30" x14ac:dyDescent="0.35">
      <c r="A228" s="1" t="s">
        <v>110</v>
      </c>
      <c r="B228" s="26">
        <v>1371.98</v>
      </c>
      <c r="C228" s="26">
        <v>2555.6799999999998</v>
      </c>
      <c r="D228" s="26">
        <v>6647.82</v>
      </c>
      <c r="E228" s="26">
        <v>10971.24</v>
      </c>
      <c r="F228" s="26">
        <v>13804.6</v>
      </c>
      <c r="G228" s="26">
        <v>19027.289000000001</v>
      </c>
      <c r="H228" s="26">
        <f t="shared" ref="H228:H230" si="494">X228</f>
        <v>27972.799999999999</v>
      </c>
      <c r="I228" s="26"/>
      <c r="M228" s="26">
        <v>11134.9</v>
      </c>
      <c r="N228" s="26">
        <v>11793.24</v>
      </c>
      <c r="O228" s="26">
        <v>12608.57</v>
      </c>
      <c r="P228" s="26">
        <f>F228</f>
        <v>13804.6</v>
      </c>
      <c r="Q228" s="26">
        <v>14510.96</v>
      </c>
      <c r="R228" s="26">
        <v>15975.04</v>
      </c>
      <c r="S228" s="26">
        <v>17358.18</v>
      </c>
      <c r="T228" s="26">
        <f>G228</f>
        <v>19027.289000000001</v>
      </c>
      <c r="U228" s="26">
        <v>20882.63</v>
      </c>
      <c r="V228" s="26">
        <v>23153.91</v>
      </c>
      <c r="W228" s="26">
        <v>25436.59</v>
      </c>
      <c r="X228" s="26">
        <v>27972.799999999999</v>
      </c>
      <c r="Y228" s="26">
        <v>29835.9</v>
      </c>
      <c r="Z228" s="26">
        <v>31864.13</v>
      </c>
      <c r="AA228" s="69">
        <f t="shared" ref="AA228:AA231" si="495">IFERROR(Z228/V228-1,"")</f>
        <v>0.37618786632581713</v>
      </c>
      <c r="AB228" s="69">
        <f t="shared" ref="AB228:AB231" si="496">IFERROR(Z228/Y228-1,"")</f>
        <v>6.7979514611592018E-2</v>
      </c>
      <c r="AC228" s="75"/>
      <c r="AD228" s="118"/>
    </row>
    <row r="229" spans="1:30" x14ac:dyDescent="0.35">
      <c r="A229" s="1" t="s">
        <v>111</v>
      </c>
      <c r="B229" s="26">
        <v>4102.8900000000003</v>
      </c>
      <c r="C229" s="26">
        <v>6393.99</v>
      </c>
      <c r="D229" s="26">
        <v>12578.2</v>
      </c>
      <c r="E229" s="26">
        <v>17947.669999999998</v>
      </c>
      <c r="F229" s="26">
        <v>21041.18</v>
      </c>
      <c r="G229" s="26">
        <v>25828.964</v>
      </c>
      <c r="H229" s="26">
        <f t="shared" si="494"/>
        <v>33823.480000000003</v>
      </c>
      <c r="I229" s="26"/>
      <c r="M229" s="26">
        <v>18102.63</v>
      </c>
      <c r="N229" s="26">
        <v>18947.73</v>
      </c>
      <c r="O229" s="26">
        <v>19752.16</v>
      </c>
      <c r="P229" s="26">
        <f>F229</f>
        <v>21041.18</v>
      </c>
      <c r="Q229" s="26">
        <v>21745.64</v>
      </c>
      <c r="R229" s="26">
        <v>23010.27</v>
      </c>
      <c r="S229" s="26">
        <v>24379.040000000001</v>
      </c>
      <c r="T229" s="26">
        <f>G229</f>
        <v>25828.964</v>
      </c>
      <c r="U229" s="26">
        <v>27416.6</v>
      </c>
      <c r="V229" s="26">
        <v>28985.08</v>
      </c>
      <c r="W229" s="26">
        <v>31266.37</v>
      </c>
      <c r="X229" s="26">
        <v>33823.480000000003</v>
      </c>
      <c r="Y229" s="26">
        <v>35781.440000000002</v>
      </c>
      <c r="Z229" s="26">
        <v>37968.879999999997</v>
      </c>
      <c r="AA229" s="69">
        <f t="shared" si="495"/>
        <v>0.30994566859915507</v>
      </c>
      <c r="AB229" s="69">
        <f t="shared" si="496"/>
        <v>6.1133369702281337E-2</v>
      </c>
      <c r="AC229" s="75"/>
      <c r="AD229" s="118"/>
    </row>
    <row r="230" spans="1:30" x14ac:dyDescent="0.35">
      <c r="A230" s="1" t="s">
        <v>112</v>
      </c>
      <c r="B230" s="26">
        <v>2998.29</v>
      </c>
      <c r="C230" s="26">
        <v>4609.6499999999996</v>
      </c>
      <c r="D230" s="26">
        <v>5209.72</v>
      </c>
      <c r="E230" s="26">
        <v>7264.69</v>
      </c>
      <c r="F230" s="26">
        <v>6564.94</v>
      </c>
      <c r="G230" s="26">
        <v>8947.0930000000008</v>
      </c>
      <c r="H230" s="26">
        <f t="shared" si="494"/>
        <v>10183.4</v>
      </c>
      <c r="I230" s="26"/>
      <c r="M230" s="26">
        <v>6987.6</v>
      </c>
      <c r="N230" s="26">
        <v>6559.15</v>
      </c>
      <c r="O230" s="26">
        <v>7045.74</v>
      </c>
      <c r="P230" s="26">
        <f>F230</f>
        <v>6564.94</v>
      </c>
      <c r="Q230" s="26">
        <v>6686.08</v>
      </c>
      <c r="R230" s="26">
        <v>7184.97</v>
      </c>
      <c r="S230" s="26">
        <v>8203.26</v>
      </c>
      <c r="T230" s="26">
        <f>G230</f>
        <v>8947.0930000000008</v>
      </c>
      <c r="U230" s="26">
        <v>10019.6</v>
      </c>
      <c r="V230" s="26">
        <v>10615.38</v>
      </c>
      <c r="W230" s="26">
        <v>10808.82</v>
      </c>
      <c r="X230" s="26">
        <v>10183.4</v>
      </c>
      <c r="Y230" s="26">
        <v>12141.58</v>
      </c>
      <c r="Z230" s="26">
        <v>13821.44</v>
      </c>
      <c r="AA230" s="69">
        <f t="shared" si="495"/>
        <v>0.30202027624070005</v>
      </c>
      <c r="AB230" s="69">
        <f t="shared" si="496"/>
        <v>0.1383559635566376</v>
      </c>
      <c r="AC230" s="75"/>
      <c r="AD230" s="118"/>
    </row>
    <row r="231" spans="1:30" s="2" customFormat="1" x14ac:dyDescent="0.35">
      <c r="A231" s="2" t="s">
        <v>35</v>
      </c>
      <c r="B231" s="4">
        <f t="shared" ref="B231:G231" si="497">SUM(B228:B230)</f>
        <v>8473.16</v>
      </c>
      <c r="C231" s="4">
        <f t="shared" si="497"/>
        <v>13559.32</v>
      </c>
      <c r="D231" s="4">
        <f t="shared" si="497"/>
        <v>24435.74</v>
      </c>
      <c r="E231" s="4">
        <f t="shared" si="497"/>
        <v>36183.599999999999</v>
      </c>
      <c r="F231" s="4">
        <f t="shared" si="497"/>
        <v>41410.720000000001</v>
      </c>
      <c r="G231" s="4">
        <f t="shared" si="497"/>
        <v>53803.345999999998</v>
      </c>
      <c r="H231" s="4">
        <f t="shared" ref="H231" si="498">SUM(H228:H230)</f>
        <v>71979.679999999993</v>
      </c>
      <c r="I231" s="4"/>
      <c r="M231" s="4">
        <f t="shared" ref="M231:T231" si="499">SUM(M228:M230)</f>
        <v>36225.129999999997</v>
      </c>
      <c r="N231" s="4">
        <f t="shared" si="499"/>
        <v>37300.120000000003</v>
      </c>
      <c r="O231" s="4">
        <f t="shared" si="499"/>
        <v>39406.47</v>
      </c>
      <c r="P231" s="4">
        <f t="shared" si="499"/>
        <v>41410.720000000001</v>
      </c>
      <c r="Q231" s="4">
        <f t="shared" si="499"/>
        <v>42942.68</v>
      </c>
      <c r="R231" s="4">
        <f t="shared" si="499"/>
        <v>46170.28</v>
      </c>
      <c r="S231" s="4">
        <f>SUM(S228:S230)</f>
        <v>49940.480000000003</v>
      </c>
      <c r="T231" s="4">
        <f t="shared" si="499"/>
        <v>53803.345999999998</v>
      </c>
      <c r="U231" s="4">
        <f t="shared" ref="U231:V231" si="500">SUM(U228:U230)</f>
        <v>58318.829999999994</v>
      </c>
      <c r="V231" s="4">
        <f t="shared" si="500"/>
        <v>62754.37</v>
      </c>
      <c r="W231" s="4">
        <f>SUM(W228:W230)</f>
        <v>67511.78</v>
      </c>
      <c r="X231" s="4">
        <f>SUM(X228:X230)</f>
        <v>71979.679999999993</v>
      </c>
      <c r="Y231" s="4">
        <f>SUM(Y228:Y230)</f>
        <v>77758.92</v>
      </c>
      <c r="Z231" s="4">
        <f>SUM(Z228:Z230)</f>
        <v>83654.45</v>
      </c>
      <c r="AA231" s="71">
        <f t="shared" si="495"/>
        <v>0.33304581019616641</v>
      </c>
      <c r="AB231" s="71">
        <f t="shared" si="496"/>
        <v>7.5818054057335216E-2</v>
      </c>
      <c r="AC231" s="76"/>
      <c r="AD231" s="115"/>
    </row>
    <row r="233" spans="1:30" x14ac:dyDescent="0.35">
      <c r="A233" s="1" t="s">
        <v>13</v>
      </c>
      <c r="B233" s="30">
        <v>0.75900000000000001</v>
      </c>
      <c r="C233" s="30">
        <v>0.74870000000000003</v>
      </c>
      <c r="D233" s="30">
        <v>0.73260000000000003</v>
      </c>
      <c r="E233" s="30">
        <v>0.60160000000000002</v>
      </c>
      <c r="F233" s="30">
        <v>0.58979999999999999</v>
      </c>
      <c r="G233" s="30">
        <v>0.57240000000000002</v>
      </c>
      <c r="H233" s="30">
        <f t="shared" ref="H233:H234" si="501">X233</f>
        <v>0.5595</v>
      </c>
      <c r="I233" s="30"/>
      <c r="M233" s="30">
        <v>0.60099999999999998</v>
      </c>
      <c r="N233" s="30">
        <v>0.60070000000000001</v>
      </c>
      <c r="O233" s="30">
        <v>0.59471511624086415</v>
      </c>
      <c r="P233" s="30">
        <f>F233</f>
        <v>0.58979999999999999</v>
      </c>
      <c r="Q233" s="30">
        <v>0.58699999999999997</v>
      </c>
      <c r="R233" s="30">
        <v>0.57999999999999996</v>
      </c>
      <c r="S233" s="30">
        <v>0.57582900149433247</v>
      </c>
      <c r="T233" s="30">
        <f>G233</f>
        <v>0.57240000000000002</v>
      </c>
      <c r="U233" s="30">
        <v>0.56640000000000001</v>
      </c>
      <c r="V233" s="30">
        <v>0.56197343965076951</v>
      </c>
      <c r="W233" s="30">
        <v>0.56020000000000003</v>
      </c>
      <c r="X233" s="30">
        <v>0.5595</v>
      </c>
      <c r="Y233" s="30">
        <v>0.55840000000000001</v>
      </c>
      <c r="Z233" s="30">
        <v>0.55679999999999996</v>
      </c>
    </row>
    <row r="234" spans="1:30" x14ac:dyDescent="0.35">
      <c r="A234" s="1" t="s">
        <v>14</v>
      </c>
      <c r="B234" s="30">
        <v>0.64900000000000002</v>
      </c>
      <c r="C234" s="30">
        <v>0.63070000000000004</v>
      </c>
      <c r="D234" s="30">
        <v>0.57640000000000002</v>
      </c>
      <c r="E234" s="30">
        <v>0.49430000000000002</v>
      </c>
      <c r="F234" s="30">
        <v>0.47549999999999998</v>
      </c>
      <c r="G234" s="30">
        <v>0.46949999999999997</v>
      </c>
      <c r="H234" s="30">
        <f t="shared" si="501"/>
        <v>0.4572</v>
      </c>
      <c r="I234" s="30"/>
      <c r="M234" s="30">
        <v>0.49380000000000002</v>
      </c>
      <c r="N234" s="30">
        <v>0.48780000000000001</v>
      </c>
      <c r="O234" s="30">
        <v>0.48519486053529803</v>
      </c>
      <c r="P234" s="30">
        <f>F234</f>
        <v>0.47549999999999998</v>
      </c>
      <c r="Q234" s="30">
        <v>0.4743</v>
      </c>
      <c r="R234" s="30">
        <v>0.47</v>
      </c>
      <c r="S234" s="30">
        <v>0.47084713487151864</v>
      </c>
      <c r="T234" s="30">
        <f>G234</f>
        <v>0.46949999999999997</v>
      </c>
      <c r="U234" s="30">
        <v>0.46834999999999999</v>
      </c>
      <c r="V234" s="30">
        <v>0.46516442882528586</v>
      </c>
      <c r="W234" s="30">
        <v>0.46250000000000002</v>
      </c>
      <c r="X234" s="30">
        <v>0.4572</v>
      </c>
      <c r="Y234" s="30">
        <v>0.46050000000000002</v>
      </c>
      <c r="Z234" s="30">
        <v>0.46400000000000002</v>
      </c>
    </row>
    <row r="236" spans="1:30" s="5" customFormat="1" x14ac:dyDescent="0.35">
      <c r="A236" s="5" t="s">
        <v>120</v>
      </c>
      <c r="B236" s="22" t="str">
        <f t="shared" ref="B236:H236" si="502">B$1</f>
        <v>FY17</v>
      </c>
      <c r="C236" s="22" t="str">
        <f t="shared" si="502"/>
        <v>FY18</v>
      </c>
      <c r="D236" s="22" t="str">
        <f t="shared" si="502"/>
        <v>FY19</v>
      </c>
      <c r="E236" s="22" t="str">
        <f t="shared" si="502"/>
        <v>FY20</v>
      </c>
      <c r="F236" s="22" t="str">
        <f t="shared" si="502"/>
        <v>FY21</v>
      </c>
      <c r="G236" s="22" t="str">
        <f t="shared" si="502"/>
        <v>FY22</v>
      </c>
      <c r="H236" s="22" t="str">
        <f t="shared" si="502"/>
        <v>FY23</v>
      </c>
      <c r="I236" s="22"/>
      <c r="M236" s="6" t="s">
        <v>38</v>
      </c>
      <c r="N236" s="6" t="s">
        <v>39</v>
      </c>
      <c r="O236" s="80" t="s">
        <v>40</v>
      </c>
      <c r="P236" s="6" t="s">
        <v>74</v>
      </c>
      <c r="Q236" s="6" t="s">
        <v>190</v>
      </c>
      <c r="R236" s="80" t="s">
        <v>195</v>
      </c>
      <c r="S236" s="80" t="s">
        <v>208</v>
      </c>
      <c r="T236" s="80" t="s">
        <v>216</v>
      </c>
      <c r="U236" s="80" t="s">
        <v>227</v>
      </c>
      <c r="V236" s="80" t="s">
        <v>231</v>
      </c>
      <c r="W236" s="80" t="str">
        <f>W$1</f>
        <v>Q3FY23</v>
      </c>
      <c r="X236" s="80" t="str">
        <f>X$1</f>
        <v>Q4FY23</v>
      </c>
      <c r="Y236" s="80" t="str">
        <f>Y$1</f>
        <v>Q1FY24</v>
      </c>
      <c r="Z236" s="80" t="str">
        <f>Z$1</f>
        <v>Q2FY24</v>
      </c>
      <c r="AA236" s="6"/>
      <c r="AB236" s="6"/>
      <c r="AC236" s="6"/>
    </row>
    <row r="237" spans="1:30" x14ac:dyDescent="0.35">
      <c r="A237" s="1" t="s">
        <v>117</v>
      </c>
      <c r="B237" s="26">
        <v>36</v>
      </c>
      <c r="C237" s="26">
        <v>42</v>
      </c>
      <c r="D237" s="26">
        <v>60</v>
      </c>
      <c r="E237" s="26">
        <v>68</v>
      </c>
      <c r="F237" s="26">
        <v>72</v>
      </c>
      <c r="G237" s="26">
        <v>80</v>
      </c>
      <c r="H237" s="26">
        <f t="shared" ref="H237:H238" si="503">X237</f>
        <v>111</v>
      </c>
      <c r="I237" s="26"/>
      <c r="M237" s="26">
        <v>68</v>
      </c>
      <c r="N237" s="26">
        <v>70</v>
      </c>
      <c r="O237" s="26">
        <v>72</v>
      </c>
      <c r="P237" s="26">
        <f>F237</f>
        <v>72</v>
      </c>
      <c r="Q237" s="26">
        <v>72</v>
      </c>
      <c r="R237" s="26">
        <v>72</v>
      </c>
      <c r="S237" s="26">
        <v>76</v>
      </c>
      <c r="T237" s="26">
        <v>80</v>
      </c>
      <c r="U237" s="26">
        <v>93</v>
      </c>
      <c r="V237" s="26">
        <v>101</v>
      </c>
      <c r="W237" s="26">
        <v>102</v>
      </c>
      <c r="X237" s="26">
        <v>111</v>
      </c>
      <c r="Y237" s="26">
        <v>113</v>
      </c>
      <c r="Z237" s="26">
        <v>120</v>
      </c>
    </row>
    <row r="238" spans="1:30" x14ac:dyDescent="0.35">
      <c r="A238" s="1" t="s">
        <v>118</v>
      </c>
      <c r="B238" s="26">
        <v>200</v>
      </c>
      <c r="C238" s="26">
        <v>382</v>
      </c>
      <c r="D238" s="26">
        <v>675</v>
      </c>
      <c r="E238" s="26">
        <v>696</v>
      </c>
      <c r="F238" s="26">
        <v>687</v>
      </c>
      <c r="G238" s="26">
        <v>851</v>
      </c>
      <c r="H238" s="26">
        <f t="shared" si="503"/>
        <v>993</v>
      </c>
      <c r="I238" s="26"/>
      <c r="M238" s="26">
        <v>709</v>
      </c>
      <c r="N238" s="26">
        <v>675</v>
      </c>
      <c r="O238" s="26">
        <v>692</v>
      </c>
      <c r="P238" s="26">
        <f>F238</f>
        <v>687</v>
      </c>
      <c r="Q238" s="26">
        <v>709</v>
      </c>
      <c r="R238" s="26">
        <v>806</v>
      </c>
      <c r="S238" s="26">
        <v>830</v>
      </c>
      <c r="T238" s="26">
        <v>851</v>
      </c>
      <c r="U238" s="26">
        <v>905</v>
      </c>
      <c r="V238" s="26">
        <v>951</v>
      </c>
      <c r="W238" s="26">
        <v>977</v>
      </c>
      <c r="X238" s="26">
        <v>993</v>
      </c>
      <c r="Y238" s="26">
        <v>1105</v>
      </c>
      <c r="Z238" s="26">
        <v>1242</v>
      </c>
    </row>
    <row r="239" spans="1:30" x14ac:dyDescent="0.35">
      <c r="A239" s="1" t="s">
        <v>2</v>
      </c>
      <c r="B239" s="3">
        <f t="shared" ref="B239:G239" si="504">B238/B237</f>
        <v>5.5555555555555554</v>
      </c>
      <c r="C239" s="3">
        <f t="shared" si="504"/>
        <v>9.0952380952380949</v>
      </c>
      <c r="D239" s="3">
        <f t="shared" si="504"/>
        <v>11.25</v>
      </c>
      <c r="E239" s="3">
        <f t="shared" si="504"/>
        <v>10.235294117647058</v>
      </c>
      <c r="F239" s="3">
        <f t="shared" si="504"/>
        <v>9.5416666666666661</v>
      </c>
      <c r="G239" s="3">
        <f t="shared" si="504"/>
        <v>10.637499999999999</v>
      </c>
      <c r="H239" s="3">
        <f t="shared" ref="H239" si="505">H238/H237</f>
        <v>8.9459459459459456</v>
      </c>
      <c r="M239" s="3">
        <f t="shared" ref="M239:T239" si="506">M238/M237</f>
        <v>10.426470588235293</v>
      </c>
      <c r="N239" s="3">
        <f t="shared" si="506"/>
        <v>9.6428571428571423</v>
      </c>
      <c r="O239" s="3">
        <f t="shared" si="506"/>
        <v>9.6111111111111107</v>
      </c>
      <c r="P239" s="3">
        <f t="shared" si="506"/>
        <v>9.5416666666666661</v>
      </c>
      <c r="Q239" s="3">
        <f t="shared" si="506"/>
        <v>9.8472222222222214</v>
      </c>
      <c r="R239" s="3">
        <f t="shared" si="506"/>
        <v>11.194444444444445</v>
      </c>
      <c r="S239" s="3">
        <f t="shared" si="506"/>
        <v>10.921052631578947</v>
      </c>
      <c r="T239" s="3">
        <f t="shared" si="506"/>
        <v>10.637499999999999</v>
      </c>
      <c r="U239" s="3">
        <f t="shared" ref="U239" si="507">U238/U237</f>
        <v>9.7311827956989241</v>
      </c>
      <c r="V239" s="3">
        <f>V238/V237</f>
        <v>9.4158415841584162</v>
      </c>
      <c r="W239" s="3">
        <f>W238/W237</f>
        <v>9.5784313725490193</v>
      </c>
      <c r="X239" s="3">
        <f>X238/X237</f>
        <v>8.9459459459459456</v>
      </c>
      <c r="Y239" s="3">
        <f>Y238/Y237</f>
        <v>9.7787610619469021</v>
      </c>
      <c r="Z239" s="3">
        <f>Z238/Z237</f>
        <v>10.35</v>
      </c>
    </row>
    <row r="240" spans="1:30" x14ac:dyDescent="0.35">
      <c r="A240" s="1" t="s">
        <v>126</v>
      </c>
      <c r="B240" s="3">
        <v>287.23</v>
      </c>
      <c r="C240" s="3">
        <f t="shared" ref="C240:H240" si="508">C3/(AVERAGE(B237:C237))</f>
        <v>347.67487179487176</v>
      </c>
      <c r="D240" s="3">
        <f t="shared" si="508"/>
        <v>479.13215686274515</v>
      </c>
      <c r="E240" s="3">
        <f t="shared" si="508"/>
        <v>565.36874999999998</v>
      </c>
      <c r="F240" s="3">
        <f t="shared" si="508"/>
        <v>591.58171428571427</v>
      </c>
      <c r="G240" s="3">
        <f t="shared" si="508"/>
        <v>707.93881578947367</v>
      </c>
      <c r="H240" s="3">
        <f t="shared" si="508"/>
        <v>753.71392670157059</v>
      </c>
      <c r="M240" s="3">
        <f>M3/(AVERAGE(E237,M237))</f>
        <v>532.72249999999997</v>
      </c>
      <c r="N240" s="3">
        <f t="shared" ref="N240:Z240" si="509">N3/(AVERAGE(M237:N237))</f>
        <v>540.58144927536239</v>
      </c>
      <c r="O240" s="3">
        <f t="shared" si="509"/>
        <v>555.02064950070417</v>
      </c>
      <c r="P240" s="3">
        <f t="shared" si="509"/>
        <v>575.14888888888891</v>
      </c>
      <c r="Q240" s="3">
        <f t="shared" si="509"/>
        <v>596.42611111111114</v>
      </c>
      <c r="R240" s="3">
        <f t="shared" si="509"/>
        <v>641.25388888888892</v>
      </c>
      <c r="S240" s="3">
        <f t="shared" si="509"/>
        <v>674.87135135135145</v>
      </c>
      <c r="T240" s="3">
        <f t="shared" si="509"/>
        <v>689.7865384615385</v>
      </c>
      <c r="U240" s="3">
        <f t="shared" si="509"/>
        <v>674.20612716763003</v>
      </c>
      <c r="V240" s="3">
        <f t="shared" si="509"/>
        <v>646.95226804123718</v>
      </c>
      <c r="W240" s="3">
        <f t="shared" si="509"/>
        <v>665.14068965517242</v>
      </c>
      <c r="X240" s="3">
        <f t="shared" si="509"/>
        <v>675.86553990610321</v>
      </c>
      <c r="Y240" s="3">
        <f t="shared" si="509"/>
        <v>694.27607142857141</v>
      </c>
      <c r="Z240" s="3">
        <f t="shared" si="509"/>
        <v>718.06394849785408</v>
      </c>
    </row>
    <row r="241" spans="1:29" x14ac:dyDescent="0.35">
      <c r="A241" s="1" t="s">
        <v>218</v>
      </c>
      <c r="B241" s="3">
        <v>143.85</v>
      </c>
      <c r="C241" s="3">
        <f t="shared" ref="C241:H241" si="510">C13/(AVERAGE(B237:C237))</f>
        <v>191.16128205128206</v>
      </c>
      <c r="D241" s="3">
        <f t="shared" si="510"/>
        <v>308.3962745098039</v>
      </c>
      <c r="E241" s="3">
        <f t="shared" si="510"/>
        <v>252.85749999999999</v>
      </c>
      <c r="F241" s="3">
        <f t="shared" si="510"/>
        <v>156.65899999999999</v>
      </c>
      <c r="G241" s="3">
        <f t="shared" si="510"/>
        <v>267.17498509210526</v>
      </c>
      <c r="H241" s="3">
        <f t="shared" si="510"/>
        <v>315.48816753926707</v>
      </c>
      <c r="M241" s="3">
        <f>M13/(AVERAGE(E237,M237))*4</f>
        <v>31.062941176470591</v>
      </c>
      <c r="N241" s="3">
        <f t="shared" ref="N241:Z241" si="511">N13/(AVERAGE(M237:N237))*4</f>
        <v>140.95130434782607</v>
      </c>
      <c r="O241" s="3">
        <f t="shared" si="511"/>
        <v>196.52218422535213</v>
      </c>
      <c r="P241" s="3">
        <f t="shared" si="511"/>
        <v>251.02166666666668</v>
      </c>
      <c r="Q241" s="3">
        <f t="shared" si="511"/>
        <v>169.23666666666668</v>
      </c>
      <c r="R241" s="3">
        <f t="shared" si="511"/>
        <v>286.20333333333332</v>
      </c>
      <c r="S241" s="3">
        <f t="shared" si="511"/>
        <v>307.90588470270274</v>
      </c>
      <c r="T241" s="3">
        <f t="shared" si="511"/>
        <v>328.77538461538461</v>
      </c>
      <c r="U241" s="3">
        <f t="shared" si="511"/>
        <v>305.7521387283237</v>
      </c>
      <c r="V241" s="3">
        <f t="shared" si="511"/>
        <v>289.5501030927835</v>
      </c>
      <c r="W241" s="3">
        <f t="shared" si="511"/>
        <v>307.56334975369458</v>
      </c>
      <c r="X241" s="3">
        <f t="shared" si="511"/>
        <v>326.43079812206571</v>
      </c>
      <c r="Y241" s="3">
        <f t="shared" si="511"/>
        <v>319.69678571428574</v>
      </c>
      <c r="Z241" s="3">
        <f t="shared" si="511"/>
        <v>329.32154506437769</v>
      </c>
    </row>
    <row r="242" spans="1:29" x14ac:dyDescent="0.35">
      <c r="A242" s="1" t="s">
        <v>119</v>
      </c>
      <c r="B242" s="3">
        <v>48.98</v>
      </c>
      <c r="C242" s="3">
        <f t="shared" ref="C242:H242" si="512">C3/(AVERAGE(B238:C238))</f>
        <v>46.595601374570442</v>
      </c>
      <c r="D242" s="3">
        <f t="shared" si="512"/>
        <v>46.23602649006623</v>
      </c>
      <c r="E242" s="3">
        <f t="shared" si="512"/>
        <v>52.78424507658643</v>
      </c>
      <c r="F242" s="3">
        <f t="shared" si="512"/>
        <v>59.88535068691251</v>
      </c>
      <c r="G242" s="3">
        <f t="shared" si="512"/>
        <v>69.965344603381013</v>
      </c>
      <c r="H242" s="3">
        <f t="shared" si="512"/>
        <v>78.0690672451193</v>
      </c>
      <c r="M242" s="3">
        <f>M3/(AVERAGE(E238,M238))</f>
        <v>51.566021352313165</v>
      </c>
      <c r="N242" s="3">
        <f t="shared" ref="N242:Z242" si="513">N3/(AVERAGE(M238:N238))</f>
        <v>53.901907514450869</v>
      </c>
      <c r="O242" s="3">
        <f t="shared" si="513"/>
        <v>57.653937256108257</v>
      </c>
      <c r="P242" s="3">
        <f t="shared" si="513"/>
        <v>60.059057287889779</v>
      </c>
      <c r="Q242" s="3">
        <f t="shared" si="513"/>
        <v>61.522464183381089</v>
      </c>
      <c r="R242" s="3">
        <f t="shared" si="513"/>
        <v>60.950864686468648</v>
      </c>
      <c r="S242" s="3">
        <f t="shared" si="513"/>
        <v>61.051931540342302</v>
      </c>
      <c r="T242" s="3">
        <f t="shared" si="513"/>
        <v>64.013503866745978</v>
      </c>
      <c r="U242" s="3">
        <f t="shared" si="513"/>
        <v>66.422357630979505</v>
      </c>
      <c r="V242" s="3">
        <f t="shared" si="513"/>
        <v>67.623243534482768</v>
      </c>
      <c r="W242" s="3">
        <f t="shared" si="513"/>
        <v>70.032966804979253</v>
      </c>
      <c r="X242" s="3">
        <f t="shared" si="513"/>
        <v>73.075817258883248</v>
      </c>
      <c r="Y242" s="3">
        <f t="shared" si="513"/>
        <v>74.126711153479505</v>
      </c>
      <c r="Z242" s="3">
        <f t="shared" si="513"/>
        <v>71.286280357903706</v>
      </c>
    </row>
    <row r="243" spans="1:29" x14ac:dyDescent="0.35">
      <c r="A243" s="1" t="s">
        <v>219</v>
      </c>
      <c r="B243" s="3">
        <v>24.53</v>
      </c>
      <c r="C243" s="3">
        <f t="shared" ref="C243:H243" si="514">C13/(AVERAGE(B238:C238))</f>
        <v>25.619553264604811</v>
      </c>
      <c r="D243" s="3">
        <f t="shared" si="514"/>
        <v>29.760094607379372</v>
      </c>
      <c r="E243" s="3">
        <f t="shared" si="514"/>
        <v>23.607410649161196</v>
      </c>
      <c r="F243" s="3">
        <f t="shared" si="514"/>
        <v>15.858467100506145</v>
      </c>
      <c r="G243" s="3">
        <f t="shared" si="514"/>
        <v>26.40480997009103</v>
      </c>
      <c r="H243" s="3">
        <f t="shared" si="514"/>
        <v>32.6780043383948</v>
      </c>
      <c r="M243" s="3">
        <f>M13/(AVERAGE(E238,M238))*4</f>
        <v>3.0068042704626339</v>
      </c>
      <c r="N243" s="3">
        <f t="shared" ref="N243:Z243" si="515">N13/(AVERAGE(M238:N238))*4</f>
        <v>14.054393063583815</v>
      </c>
      <c r="O243" s="3">
        <f t="shared" si="515"/>
        <v>20.414155201170448</v>
      </c>
      <c r="P243" s="3">
        <f t="shared" si="515"/>
        <v>26.212559825960842</v>
      </c>
      <c r="Q243" s="3">
        <f t="shared" si="515"/>
        <v>17.45707736389685</v>
      </c>
      <c r="R243" s="3">
        <f t="shared" si="515"/>
        <v>27.203485148514851</v>
      </c>
      <c r="S243" s="3">
        <f t="shared" si="515"/>
        <v>27.85456658679707</v>
      </c>
      <c r="T243" s="3">
        <f t="shared" si="515"/>
        <v>30.510981558596072</v>
      </c>
      <c r="U243" s="3">
        <f t="shared" si="515"/>
        <v>30.122505694760822</v>
      </c>
      <c r="V243" s="3">
        <f t="shared" si="515"/>
        <v>30.265474137931037</v>
      </c>
      <c r="W243" s="3">
        <f t="shared" si="515"/>
        <v>32.383485477178425</v>
      </c>
      <c r="X243" s="3">
        <f t="shared" si="515"/>
        <v>35.294294416243652</v>
      </c>
      <c r="Y243" s="3">
        <f t="shared" si="515"/>
        <v>34.133498570066735</v>
      </c>
      <c r="Z243" s="3">
        <f t="shared" si="515"/>
        <v>32.693617383894335</v>
      </c>
    </row>
    <row r="245" spans="1:29" s="5" customFormat="1" x14ac:dyDescent="0.35">
      <c r="A245" s="5" t="s">
        <v>122</v>
      </c>
      <c r="B245" s="22" t="str">
        <f t="shared" ref="B245:H245" si="516">B$1</f>
        <v>FY17</v>
      </c>
      <c r="C245" s="22" t="str">
        <f t="shared" si="516"/>
        <v>FY18</v>
      </c>
      <c r="D245" s="22" t="str">
        <f t="shared" si="516"/>
        <v>FY19</v>
      </c>
      <c r="E245" s="22" t="str">
        <f t="shared" si="516"/>
        <v>FY20</v>
      </c>
      <c r="F245" s="22" t="str">
        <f t="shared" si="516"/>
        <v>FY21</v>
      </c>
      <c r="G245" s="22" t="str">
        <f t="shared" si="516"/>
        <v>FY22</v>
      </c>
      <c r="H245" s="22" t="str">
        <f t="shared" si="516"/>
        <v>FY23</v>
      </c>
      <c r="I245" s="22"/>
      <c r="M245" s="6"/>
      <c r="N245" s="6"/>
      <c r="O245" s="80"/>
      <c r="P245" s="6"/>
      <c r="Q245" s="6"/>
      <c r="R245" s="80"/>
      <c r="S245" s="80"/>
      <c r="T245" s="80"/>
      <c r="U245" s="80"/>
      <c r="V245" s="80"/>
      <c r="W245" s="80"/>
      <c r="X245" s="80"/>
      <c r="Y245" s="80"/>
      <c r="Z245" s="80"/>
      <c r="AA245" s="6"/>
      <c r="AB245" s="6"/>
      <c r="AC245" s="6"/>
    </row>
    <row r="246" spans="1:29" x14ac:dyDescent="0.35">
      <c r="A246" s="1" t="s">
        <v>66</v>
      </c>
      <c r="D246" s="26">
        <v>1501</v>
      </c>
      <c r="E246" s="26">
        <v>1804</v>
      </c>
      <c r="F246" s="26">
        <v>952</v>
      </c>
      <c r="G246" s="26">
        <v>1114</v>
      </c>
      <c r="H246" s="26">
        <v>1363</v>
      </c>
      <c r="I246" s="26"/>
    </row>
    <row r="247" spans="1:29" x14ac:dyDescent="0.35">
      <c r="A247" s="1" t="s">
        <v>67</v>
      </c>
      <c r="D247" s="26">
        <v>5948</v>
      </c>
      <c r="E247" s="26">
        <v>3601</v>
      </c>
      <c r="F247" s="26">
        <v>1866</v>
      </c>
      <c r="G247" s="26">
        <v>2452</v>
      </c>
      <c r="H247" s="26">
        <v>2545</v>
      </c>
      <c r="I247" s="26"/>
    </row>
    <row r="248" spans="1:29" x14ac:dyDescent="0.35">
      <c r="A248" s="1" t="s">
        <v>68</v>
      </c>
      <c r="D248" s="26">
        <v>9555</v>
      </c>
      <c r="E248" s="26">
        <v>10745</v>
      </c>
      <c r="F248" s="26">
        <v>7958</v>
      </c>
      <c r="G248" s="26">
        <v>15125</v>
      </c>
      <c r="H248" s="26">
        <v>22579</v>
      </c>
      <c r="I248" s="26"/>
    </row>
    <row r="249" spans="1:29" x14ac:dyDescent="0.35">
      <c r="A249" s="1" t="s">
        <v>69</v>
      </c>
      <c r="D249" s="26">
        <v>261</v>
      </c>
      <c r="E249" s="26">
        <v>840</v>
      </c>
      <c r="F249" s="26">
        <v>784</v>
      </c>
      <c r="G249" s="26">
        <v>963</v>
      </c>
      <c r="H249" s="26">
        <v>955</v>
      </c>
      <c r="I249" s="26"/>
    </row>
    <row r="250" spans="1:29" x14ac:dyDescent="0.35">
      <c r="A250" s="1" t="s">
        <v>70</v>
      </c>
      <c r="D250" s="26">
        <v>152</v>
      </c>
      <c r="E250" s="26">
        <v>449</v>
      </c>
      <c r="F250" s="26">
        <v>287</v>
      </c>
      <c r="G250" s="26">
        <v>338</v>
      </c>
      <c r="H250" s="26">
        <v>465</v>
      </c>
      <c r="I250" s="26"/>
    </row>
    <row r="251" spans="1:29" x14ac:dyDescent="0.35">
      <c r="A251" s="1" t="s">
        <v>121</v>
      </c>
      <c r="D251" s="26">
        <v>1272</v>
      </c>
      <c r="E251" s="26">
        <v>1491</v>
      </c>
      <c r="F251" s="26">
        <v>513</v>
      </c>
      <c r="G251" s="26">
        <v>729</v>
      </c>
      <c r="H251" s="26">
        <v>1161</v>
      </c>
      <c r="I251" s="26"/>
    </row>
    <row r="252" spans="1:29" x14ac:dyDescent="0.35">
      <c r="A252" s="1" t="s">
        <v>71</v>
      </c>
      <c r="D252" s="26">
        <v>318</v>
      </c>
      <c r="E252" s="26">
        <v>405</v>
      </c>
      <c r="F252" s="26">
        <v>320</v>
      </c>
      <c r="G252" s="26">
        <v>394</v>
      </c>
      <c r="H252" s="26">
        <v>631</v>
      </c>
      <c r="I252" s="26"/>
    </row>
    <row r="253" spans="1:29" x14ac:dyDescent="0.35">
      <c r="A253" s="1" t="s">
        <v>72</v>
      </c>
      <c r="D253" s="26">
        <v>0</v>
      </c>
      <c r="E253" s="26">
        <v>146</v>
      </c>
      <c r="F253" s="26">
        <v>118</v>
      </c>
      <c r="G253" s="26">
        <v>290</v>
      </c>
      <c r="H253" s="26">
        <v>487</v>
      </c>
      <c r="I253" s="26"/>
    </row>
    <row r="254" spans="1:29" s="2" customFormat="1" x14ac:dyDescent="0.35">
      <c r="A254" s="2" t="s">
        <v>35</v>
      </c>
      <c r="B254" s="4"/>
      <c r="C254" s="4"/>
      <c r="D254" s="4">
        <f>SUM(D246:D253)</f>
        <v>19007</v>
      </c>
      <c r="E254" s="4">
        <f>SUM(E246:E253)</f>
        <v>19481</v>
      </c>
      <c r="F254" s="4">
        <f>SUM(F246:F253)</f>
        <v>12798</v>
      </c>
      <c r="G254" s="4">
        <f>SUM(G246:G253)</f>
        <v>21405</v>
      </c>
      <c r="H254" s="4">
        <f>SUM(H246:H253)</f>
        <v>30186</v>
      </c>
      <c r="I254" s="4"/>
      <c r="M254" s="4"/>
      <c r="N254" s="4"/>
      <c r="O254" s="34"/>
      <c r="P254" s="4"/>
      <c r="Q254" s="4"/>
      <c r="R254" s="34"/>
      <c r="S254" s="34"/>
      <c r="T254" s="34"/>
      <c r="U254" s="34"/>
      <c r="V254" s="34"/>
      <c r="W254" s="34"/>
      <c r="X254" s="34"/>
      <c r="Y254" s="34"/>
      <c r="Z254" s="34"/>
      <c r="AA254" s="70"/>
      <c r="AB254" s="70"/>
      <c r="AC254" s="70"/>
    </row>
    <row r="256" spans="1:29" s="5" customFormat="1" x14ac:dyDescent="0.35">
      <c r="A256" s="5" t="s">
        <v>3</v>
      </c>
      <c r="B256" s="22"/>
      <c r="C256" s="22"/>
      <c r="D256" s="22"/>
      <c r="E256" s="22"/>
      <c r="F256" s="22"/>
      <c r="G256" s="22"/>
      <c r="H256" s="22"/>
      <c r="I256" s="22"/>
      <c r="M256" s="6"/>
      <c r="N256" s="6"/>
      <c r="O256" s="80"/>
      <c r="P256" s="6"/>
      <c r="Q256" s="6"/>
      <c r="R256" s="80"/>
      <c r="S256" s="80"/>
      <c r="T256" s="80"/>
      <c r="U256" s="80" t="str">
        <f t="shared" ref="U256:Z256" si="517">U$1</f>
        <v>Q1FY23</v>
      </c>
      <c r="V256" s="80" t="str">
        <f t="shared" si="517"/>
        <v>Q2FY23</v>
      </c>
      <c r="W256" s="80" t="str">
        <f t="shared" si="517"/>
        <v>Q3FY23</v>
      </c>
      <c r="X256" s="80" t="str">
        <f t="shared" si="517"/>
        <v>Q4FY23</v>
      </c>
      <c r="Y256" s="80" t="str">
        <f t="shared" si="517"/>
        <v>Q1FY24</v>
      </c>
      <c r="Z256" s="80" t="str">
        <f t="shared" si="517"/>
        <v>Q2FY24</v>
      </c>
      <c r="AA256" s="6"/>
      <c r="AB256" s="6"/>
      <c r="AC256" s="6"/>
    </row>
    <row r="257" spans="1:29" x14ac:dyDescent="0.35">
      <c r="A257" s="1" t="s">
        <v>20</v>
      </c>
      <c r="E257" s="1"/>
      <c r="G257" s="39"/>
      <c r="H257" s="39"/>
      <c r="T257" s="1" t="s">
        <v>4</v>
      </c>
      <c r="U257" s="3" t="s">
        <v>217</v>
      </c>
      <c r="V257" s="3" t="s">
        <v>217</v>
      </c>
      <c r="W257" s="3" t="s">
        <v>217</v>
      </c>
      <c r="X257" s="3" t="s">
        <v>217</v>
      </c>
      <c r="Y257" s="3" t="s">
        <v>217</v>
      </c>
      <c r="Z257" s="3" t="s">
        <v>217</v>
      </c>
    </row>
    <row r="258" spans="1:29" x14ac:dyDescent="0.35">
      <c r="A258" s="1" t="s">
        <v>21</v>
      </c>
      <c r="E258" s="1"/>
      <c r="T258" s="1" t="s">
        <v>4</v>
      </c>
      <c r="U258" s="3" t="s">
        <v>217</v>
      </c>
      <c r="V258" s="3" t="s">
        <v>217</v>
      </c>
      <c r="W258" s="3" t="s">
        <v>217</v>
      </c>
      <c r="X258" s="3" t="s">
        <v>217</v>
      </c>
      <c r="Y258" s="3" t="s">
        <v>217</v>
      </c>
      <c r="Z258" s="3" t="s">
        <v>217</v>
      </c>
    </row>
    <row r="259" spans="1:29" s="3" customFormat="1" x14ac:dyDescent="0.35">
      <c r="A259" s="1" t="s">
        <v>20</v>
      </c>
      <c r="E259" s="1"/>
      <c r="J259" s="1"/>
      <c r="K259" s="1"/>
      <c r="O259" s="39"/>
      <c r="R259" s="39"/>
      <c r="S259" s="39"/>
      <c r="T259" s="1" t="s">
        <v>22</v>
      </c>
      <c r="U259" s="108" t="s">
        <v>24</v>
      </c>
      <c r="V259" s="108" t="s">
        <v>24</v>
      </c>
      <c r="W259" s="108" t="s">
        <v>24</v>
      </c>
      <c r="X259" s="108" t="s">
        <v>24</v>
      </c>
      <c r="Y259" s="108" t="s">
        <v>24</v>
      </c>
      <c r="Z259" s="108" t="s">
        <v>24</v>
      </c>
      <c r="AA259" s="73"/>
      <c r="AB259" s="73"/>
      <c r="AC259" s="73"/>
    </row>
    <row r="260" spans="1:29" s="3" customFormat="1" x14ac:dyDescent="0.35">
      <c r="A260" s="1" t="s">
        <v>23</v>
      </c>
      <c r="E260" s="1"/>
      <c r="J260" s="1"/>
      <c r="K260" s="1"/>
      <c r="O260" s="39"/>
      <c r="R260" s="39"/>
      <c r="S260" s="39"/>
      <c r="T260" s="1" t="s">
        <v>22</v>
      </c>
      <c r="U260" s="108" t="s">
        <v>24</v>
      </c>
      <c r="V260" s="108" t="s">
        <v>24</v>
      </c>
      <c r="W260" s="108" t="s">
        <v>24</v>
      </c>
      <c r="X260" s="108" t="s">
        <v>24</v>
      </c>
      <c r="Y260" s="108" t="s">
        <v>24</v>
      </c>
      <c r="Z260" s="108" t="s">
        <v>24</v>
      </c>
      <c r="AA260" s="73"/>
      <c r="AB260" s="73"/>
      <c r="AC260" s="73"/>
    </row>
    <row r="261" spans="1:29" s="3" customFormat="1" x14ac:dyDescent="0.35">
      <c r="A261" s="1" t="s">
        <v>23</v>
      </c>
      <c r="E261" s="1"/>
      <c r="F261" s="108"/>
      <c r="J261" s="1"/>
      <c r="K261" s="1"/>
      <c r="O261" s="39"/>
      <c r="R261" s="39"/>
      <c r="S261" s="39"/>
      <c r="T261" s="1" t="s">
        <v>4</v>
      </c>
      <c r="U261" s="3" t="s">
        <v>217</v>
      </c>
      <c r="V261" s="3" t="s">
        <v>217</v>
      </c>
      <c r="W261" s="3" t="s">
        <v>217</v>
      </c>
      <c r="X261" s="3" t="s">
        <v>217</v>
      </c>
      <c r="Y261" s="3" t="s">
        <v>217</v>
      </c>
      <c r="Z261" s="3" t="s">
        <v>217</v>
      </c>
      <c r="AA261" s="73"/>
      <c r="AB261" s="73"/>
      <c r="AC261" s="73"/>
    </row>
    <row r="263" spans="1:29" s="6" customFormat="1" x14ac:dyDescent="0.35">
      <c r="A263" s="59" t="s">
        <v>52</v>
      </c>
      <c r="F263" s="60" t="s">
        <v>51</v>
      </c>
      <c r="G263" s="60"/>
      <c r="H263" s="60"/>
      <c r="I263" s="60"/>
      <c r="J263" s="5"/>
      <c r="K263" s="5"/>
      <c r="M263" s="61"/>
      <c r="N263" s="61"/>
      <c r="O263" s="80"/>
      <c r="P263" s="61"/>
      <c r="Q263" s="61"/>
      <c r="R263" s="80"/>
      <c r="S263" s="80"/>
      <c r="T263" s="80"/>
      <c r="U263" s="80"/>
      <c r="V263" s="80"/>
      <c r="W263" s="80"/>
      <c r="X263" s="80"/>
      <c r="Y263" s="80"/>
      <c r="Z263" s="80"/>
      <c r="AA263" s="74"/>
      <c r="AB263" s="74"/>
      <c r="AC263" s="74"/>
    </row>
    <row r="264" spans="1:29" s="3" customFormat="1" x14ac:dyDescent="0.35">
      <c r="A264" s="18" t="s">
        <v>54</v>
      </c>
      <c r="F264" s="40">
        <v>11.7</v>
      </c>
      <c r="G264" s="40"/>
      <c r="H264" s="40"/>
      <c r="I264" s="40"/>
      <c r="J264" s="1"/>
      <c r="K264" s="1"/>
      <c r="O264" s="39"/>
      <c r="R264" s="39"/>
      <c r="S264" s="39"/>
      <c r="T264" s="39"/>
      <c r="U264" s="39"/>
      <c r="V264" s="39"/>
      <c r="W264" s="39"/>
      <c r="X264" s="39"/>
      <c r="Y264" s="39"/>
      <c r="Z264" s="39"/>
      <c r="AA264" s="73"/>
      <c r="AB264" s="73"/>
      <c r="AC264" s="73"/>
    </row>
    <row r="265" spans="1:29" s="3" customFormat="1" x14ac:dyDescent="0.35">
      <c r="A265" s="18" t="s">
        <v>55</v>
      </c>
      <c r="F265" s="40">
        <v>10.8</v>
      </c>
      <c r="G265" s="40"/>
      <c r="H265" s="40"/>
      <c r="I265" s="40"/>
      <c r="J265" s="1"/>
      <c r="K265" s="1"/>
      <c r="O265" s="39"/>
      <c r="R265" s="39"/>
      <c r="S265" s="39"/>
      <c r="T265" s="39"/>
      <c r="U265" s="39"/>
      <c r="V265" s="39"/>
      <c r="W265" s="39"/>
      <c r="X265" s="39"/>
      <c r="Y265" s="39"/>
      <c r="Z265" s="39"/>
      <c r="AA265" s="73"/>
      <c r="AB265" s="73"/>
      <c r="AC265" s="73"/>
    </row>
    <row r="266" spans="1:29" s="3" customFormat="1" x14ac:dyDescent="0.35">
      <c r="A266" s="18" t="s">
        <v>56</v>
      </c>
      <c r="F266" s="40">
        <v>10.199999999999999</v>
      </c>
      <c r="G266" s="40"/>
      <c r="H266" s="40"/>
      <c r="I266" s="40"/>
      <c r="J266" s="1"/>
      <c r="K266" s="1"/>
      <c r="O266" s="39"/>
      <c r="R266" s="39"/>
      <c r="S266" s="39"/>
      <c r="T266" s="39"/>
      <c r="U266" s="39"/>
      <c r="V266" s="39"/>
      <c r="W266" s="39"/>
      <c r="X266" s="39"/>
      <c r="Y266" s="39"/>
      <c r="Z266" s="39"/>
      <c r="AA266" s="73"/>
      <c r="AB266" s="73"/>
      <c r="AC266" s="73"/>
    </row>
    <row r="267" spans="1:29" s="3" customFormat="1" x14ac:dyDescent="0.35">
      <c r="A267" s="18" t="s">
        <v>57</v>
      </c>
      <c r="F267" s="40">
        <v>9.1999999999999993</v>
      </c>
      <c r="G267" s="40"/>
      <c r="H267" s="40"/>
      <c r="I267" s="40"/>
      <c r="J267" s="1"/>
      <c r="K267" s="1"/>
      <c r="O267" s="39"/>
      <c r="R267" s="39"/>
      <c r="S267" s="39"/>
      <c r="T267" s="39"/>
      <c r="U267" s="39"/>
      <c r="V267" s="39"/>
      <c r="W267" s="39"/>
      <c r="X267" s="39"/>
      <c r="Y267" s="39"/>
      <c r="Z267" s="39"/>
      <c r="AA267" s="73"/>
      <c r="AB267" s="73"/>
      <c r="AC267" s="73"/>
    </row>
    <row r="268" spans="1:29" s="3" customFormat="1" x14ac:dyDescent="0.35">
      <c r="A268" s="18" t="s">
        <v>53</v>
      </c>
      <c r="F268" s="40">
        <v>9.5</v>
      </c>
      <c r="G268" s="40"/>
      <c r="H268" s="40"/>
      <c r="I268" s="40"/>
      <c r="J268" s="1"/>
      <c r="K268" s="1"/>
      <c r="O268" s="39"/>
      <c r="R268" s="39"/>
      <c r="S268" s="39"/>
      <c r="T268" s="39"/>
      <c r="U268" s="39"/>
      <c r="V268" s="39"/>
      <c r="W268" s="39"/>
      <c r="X268" s="39"/>
      <c r="Y268" s="39"/>
      <c r="Z268" s="39"/>
      <c r="AA268" s="73"/>
      <c r="AB268" s="73"/>
      <c r="AC268" s="73"/>
    </row>
    <row r="269" spans="1:29" s="3" customFormat="1" x14ac:dyDescent="0.35">
      <c r="A269" s="18" t="s">
        <v>58</v>
      </c>
      <c r="F269" s="40">
        <v>10</v>
      </c>
      <c r="G269" s="40"/>
      <c r="H269" s="40"/>
      <c r="I269" s="40"/>
      <c r="J269" s="1"/>
      <c r="K269" s="1"/>
      <c r="O269" s="39"/>
      <c r="R269" s="39"/>
      <c r="S269" s="39"/>
      <c r="T269" s="39"/>
      <c r="U269" s="39"/>
      <c r="V269" s="39"/>
      <c r="W269" s="39"/>
      <c r="X269" s="39"/>
      <c r="Y269" s="39"/>
      <c r="Z269" s="39"/>
      <c r="AA269" s="73"/>
      <c r="AB269" s="73"/>
      <c r="AC269" s="73"/>
    </row>
    <row r="270" spans="1:29" s="3" customFormat="1" x14ac:dyDescent="0.35">
      <c r="A270" s="18" t="s">
        <v>36</v>
      </c>
      <c r="F270" s="40">
        <v>10.9</v>
      </c>
      <c r="G270" s="40"/>
      <c r="H270" s="40"/>
      <c r="I270" s="40"/>
      <c r="J270" s="1"/>
      <c r="K270" s="1"/>
      <c r="O270" s="39"/>
      <c r="R270" s="39"/>
      <c r="S270" s="39"/>
      <c r="T270" s="39"/>
      <c r="U270" s="39"/>
      <c r="V270" s="39"/>
      <c r="W270" s="39"/>
      <c r="X270" s="39"/>
      <c r="Y270" s="39"/>
      <c r="Z270" s="39"/>
      <c r="AA270" s="73"/>
      <c r="AB270" s="73"/>
      <c r="AC270" s="73"/>
    </row>
    <row r="271" spans="1:29" s="3" customFormat="1" x14ac:dyDescent="0.35">
      <c r="A271" s="18" t="s">
        <v>37</v>
      </c>
      <c r="F271" s="40">
        <v>10.5</v>
      </c>
      <c r="G271" s="40"/>
      <c r="H271" s="40"/>
      <c r="I271" s="40"/>
      <c r="J271" s="1"/>
      <c r="K271" s="1"/>
      <c r="O271" s="39"/>
      <c r="R271" s="39"/>
      <c r="S271" s="39"/>
      <c r="T271" s="39"/>
      <c r="U271" s="39"/>
      <c r="V271" s="39"/>
      <c r="W271" s="39"/>
      <c r="X271" s="39"/>
      <c r="Y271" s="39"/>
      <c r="Z271" s="39"/>
      <c r="AA271" s="73"/>
      <c r="AB271" s="73"/>
      <c r="AC271" s="73"/>
    </row>
    <row r="272" spans="1:29" s="3" customFormat="1" x14ac:dyDescent="0.35">
      <c r="A272" s="18" t="s">
        <v>38</v>
      </c>
      <c r="F272" s="40">
        <v>36.4</v>
      </c>
      <c r="G272" s="40"/>
      <c r="H272" s="40"/>
      <c r="I272" s="40"/>
      <c r="J272" s="1"/>
      <c r="K272" s="1"/>
      <c r="O272" s="39"/>
      <c r="R272" s="39"/>
      <c r="S272" s="39"/>
      <c r="T272" s="39"/>
      <c r="U272" s="39"/>
      <c r="V272" s="39"/>
      <c r="W272" s="39"/>
      <c r="X272" s="39"/>
      <c r="Y272" s="39"/>
      <c r="Z272" s="39"/>
      <c r="AA272" s="73"/>
      <c r="AB272" s="73"/>
      <c r="AC272" s="73"/>
    </row>
    <row r="273" spans="1:29" s="3" customFormat="1" x14ac:dyDescent="0.35">
      <c r="A273" s="18" t="s">
        <v>39</v>
      </c>
      <c r="F273" s="40">
        <v>28.3</v>
      </c>
      <c r="G273" s="40"/>
      <c r="H273" s="40"/>
      <c r="I273" s="40"/>
      <c r="J273" s="1"/>
      <c r="K273" s="1"/>
      <c r="O273" s="39"/>
      <c r="R273" s="39"/>
      <c r="S273" s="39"/>
      <c r="T273" s="39"/>
      <c r="U273" s="39"/>
      <c r="V273" s="39"/>
      <c r="W273" s="39"/>
      <c r="X273" s="39"/>
      <c r="Y273" s="39"/>
      <c r="Z273" s="39"/>
      <c r="AA273" s="73"/>
      <c r="AB273" s="73"/>
      <c r="AC273" s="73"/>
    </row>
    <row r="274" spans="1:29" s="3" customFormat="1" x14ac:dyDescent="0.35">
      <c r="A274" s="18" t="s">
        <v>40</v>
      </c>
      <c r="F274" s="41">
        <v>20.100000000000001</v>
      </c>
      <c r="G274" s="41"/>
      <c r="H274" s="41"/>
      <c r="I274" s="41"/>
      <c r="J274" s="1"/>
      <c r="K274" s="1"/>
      <c r="O274" s="39"/>
      <c r="R274" s="39"/>
      <c r="S274" s="39"/>
      <c r="T274" s="39"/>
      <c r="U274" s="39"/>
      <c r="V274" s="39"/>
      <c r="W274" s="39"/>
      <c r="X274" s="39"/>
      <c r="Y274" s="39"/>
      <c r="Z274" s="39"/>
      <c r="AA274" s="73"/>
      <c r="AB274" s="73"/>
      <c r="AC274" s="73"/>
    </row>
    <row r="275" spans="1:29" s="3" customFormat="1" x14ac:dyDescent="0.35">
      <c r="A275" s="18" t="s">
        <v>74</v>
      </c>
      <c r="F275" s="41">
        <v>17.3</v>
      </c>
      <c r="G275" s="41"/>
      <c r="H275" s="41"/>
      <c r="I275" s="41"/>
      <c r="J275" s="1"/>
      <c r="K275" s="1"/>
      <c r="O275" s="39"/>
      <c r="R275" s="39"/>
      <c r="S275" s="39"/>
      <c r="T275" s="39"/>
      <c r="U275" s="39"/>
      <c r="V275" s="39"/>
      <c r="W275" s="39"/>
      <c r="X275" s="39"/>
      <c r="Y275" s="39"/>
      <c r="Z275" s="39"/>
      <c r="AA275" s="73"/>
      <c r="AB275" s="73"/>
      <c r="AC275" s="73"/>
    </row>
    <row r="276" spans="1:29" s="3" customFormat="1" x14ac:dyDescent="0.35">
      <c r="A276" s="18" t="s">
        <v>190</v>
      </c>
      <c r="F276" s="41">
        <v>18.3</v>
      </c>
      <c r="G276" s="41"/>
      <c r="H276" s="41"/>
      <c r="I276" s="41"/>
      <c r="J276" s="1"/>
      <c r="K276" s="1"/>
      <c r="O276" s="39"/>
      <c r="R276" s="39"/>
      <c r="S276" s="39"/>
      <c r="T276" s="39"/>
      <c r="U276" s="39"/>
      <c r="V276" s="39"/>
      <c r="W276" s="39"/>
      <c r="X276" s="39"/>
      <c r="Y276" s="39"/>
      <c r="Z276" s="39"/>
      <c r="AA276" s="73"/>
      <c r="AB276" s="73"/>
      <c r="AC276" s="73"/>
    </row>
    <row r="277" spans="1:29" x14ac:dyDescent="0.35">
      <c r="A277" s="18" t="s">
        <v>195</v>
      </c>
      <c r="F277" s="41">
        <v>16.5</v>
      </c>
      <c r="G277" s="41"/>
      <c r="H277" s="41"/>
      <c r="I277" s="41"/>
    </row>
    <row r="278" spans="1:29" x14ac:dyDescent="0.35">
      <c r="A278" s="1" t="s">
        <v>208</v>
      </c>
      <c r="F278" s="41">
        <v>15.7</v>
      </c>
      <c r="G278" s="41"/>
      <c r="H278" s="41"/>
    </row>
    <row r="279" spans="1:29" x14ac:dyDescent="0.35">
      <c r="A279" s="1" t="s">
        <v>216</v>
      </c>
      <c r="F279" s="41">
        <v>14.5</v>
      </c>
    </row>
    <row r="280" spans="1:29" x14ac:dyDescent="0.35">
      <c r="A280" s="1" t="s">
        <v>227</v>
      </c>
      <c r="F280" s="41">
        <v>14</v>
      </c>
    </row>
    <row r="281" spans="1:29" x14ac:dyDescent="0.35">
      <c r="A281" s="1" t="s">
        <v>231</v>
      </c>
      <c r="F281" s="41">
        <v>15.61</v>
      </c>
    </row>
    <row r="282" spans="1:29" x14ac:dyDescent="0.35">
      <c r="A282" s="1" t="s">
        <v>232</v>
      </c>
      <c r="F282" s="41">
        <v>14.88</v>
      </c>
    </row>
    <row r="283" spans="1:29" x14ac:dyDescent="0.35">
      <c r="A283" s="1" t="s">
        <v>234</v>
      </c>
      <c r="F283" s="41">
        <v>13.61</v>
      </c>
    </row>
    <row r="284" spans="1:29" x14ac:dyDescent="0.35">
      <c r="A284" s="1" t="s">
        <v>239</v>
      </c>
      <c r="F284" s="41">
        <v>15</v>
      </c>
    </row>
    <row r="285" spans="1:29" x14ac:dyDescent="0.35">
      <c r="A285" s="1" t="s">
        <v>242</v>
      </c>
      <c r="F285" s="41">
        <v>14.23</v>
      </c>
    </row>
    <row r="287" spans="1:29" x14ac:dyDescent="0.35">
      <c r="A287" s="2" t="s">
        <v>225</v>
      </c>
      <c r="F287" s="7"/>
      <c r="G287" s="7"/>
      <c r="H287" s="7"/>
      <c r="I287" s="7"/>
      <c r="M287" s="39"/>
      <c r="N287" s="39"/>
      <c r="P287" s="39"/>
      <c r="Q287" s="39"/>
    </row>
    <row r="288" spans="1:29" ht="72.5" x14ac:dyDescent="0.35">
      <c r="A288" s="1" t="s">
        <v>223</v>
      </c>
      <c r="B288" s="101"/>
      <c r="C288" s="101"/>
      <c r="D288" s="101"/>
      <c r="E288" s="101"/>
      <c r="F288" s="102" t="s">
        <v>220</v>
      </c>
      <c r="G288" s="102"/>
      <c r="H288" s="102"/>
      <c r="I288" s="7"/>
      <c r="M288" s="39"/>
      <c r="N288" s="39"/>
      <c r="P288" s="39"/>
      <c r="Q288" s="39"/>
    </row>
    <row r="289" spans="1:17" ht="72.5" x14ac:dyDescent="0.35">
      <c r="A289" s="1" t="s">
        <v>199</v>
      </c>
      <c r="B289" s="102" t="s">
        <v>220</v>
      </c>
      <c r="C289" s="102" t="s">
        <v>220</v>
      </c>
      <c r="D289" s="102" t="s">
        <v>220</v>
      </c>
      <c r="E289" s="102" t="s">
        <v>220</v>
      </c>
      <c r="F289" s="103" t="s">
        <v>222</v>
      </c>
      <c r="G289" s="103"/>
      <c r="H289" s="103"/>
      <c r="I289" s="7"/>
      <c r="M289" s="39"/>
      <c r="N289" s="39"/>
      <c r="P289" s="39"/>
      <c r="Q289" s="39"/>
    </row>
    <row r="290" spans="1:17" ht="72.5" x14ac:dyDescent="0.35">
      <c r="A290" s="1" t="s">
        <v>200</v>
      </c>
      <c r="B290" s="104" t="s">
        <v>221</v>
      </c>
      <c r="C290" s="104" t="s">
        <v>221</v>
      </c>
      <c r="D290" s="104" t="s">
        <v>221</v>
      </c>
      <c r="E290" s="104" t="s">
        <v>221</v>
      </c>
      <c r="F290" s="105"/>
      <c r="G290" s="105"/>
      <c r="H290" s="105"/>
      <c r="I290" s="7"/>
      <c r="M290" s="39"/>
      <c r="N290" s="39"/>
      <c r="P290" s="39"/>
      <c r="Q290" s="39"/>
    </row>
    <row r="291" spans="1:17" ht="101.5" x14ac:dyDescent="0.35">
      <c r="A291" s="1" t="s">
        <v>202</v>
      </c>
      <c r="B291" s="101"/>
      <c r="C291" s="101"/>
      <c r="D291" s="101"/>
      <c r="E291" s="101"/>
      <c r="F291" s="106" t="s">
        <v>224</v>
      </c>
      <c r="G291" s="106"/>
      <c r="H291" s="106"/>
      <c r="I291" s="7"/>
      <c r="M291" s="39"/>
      <c r="N291" s="39"/>
      <c r="P291" s="39"/>
      <c r="Q291" s="39"/>
    </row>
    <row r="292" spans="1:17" ht="101.5" x14ac:dyDescent="0.35">
      <c r="A292" s="1" t="s">
        <v>233</v>
      </c>
      <c r="B292" s="106" t="s">
        <v>224</v>
      </c>
      <c r="C292" s="106" t="s">
        <v>224</v>
      </c>
      <c r="D292" s="106" t="s">
        <v>224</v>
      </c>
      <c r="E292" s="106" t="s">
        <v>224</v>
      </c>
      <c r="F292" s="105"/>
      <c r="G292" s="105"/>
      <c r="H292" s="105"/>
      <c r="I292" s="7"/>
      <c r="M292" s="39"/>
      <c r="N292" s="39"/>
      <c r="P292" s="39"/>
      <c r="Q292" s="39"/>
    </row>
  </sheetData>
  <autoFilter ref="A1:AG292" xr:uid="{F0CC37B2-D2B4-4D8B-A07B-6FE9A5A459A8}"/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2023-10-24T11:19:25Z</dcterms:modified>
</cp:coreProperties>
</file>