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IR\FY24\Q4FY24\Final\"/>
    </mc:Choice>
  </mc:AlternateContent>
  <xr:revisionPtr revIDLastSave="0" documentId="13_ncr:1_{8C0E08CB-D197-45B4-9B58-FCA0F53161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sheet" sheetId="11" r:id="rId1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0" hidden="1">Factsheet!$A$1:$AJ$303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/>
</workbook>
</file>

<file path=xl/calcChain.xml><?xml version="1.0" encoding="utf-8"?>
<calcChain xmlns="http://schemas.openxmlformats.org/spreadsheetml/2006/main">
  <c r="G25" i="11" l="1"/>
  <c r="G24" i="11"/>
  <c r="F24" i="11"/>
  <c r="E24" i="11"/>
  <c r="D24" i="11"/>
  <c r="C24" i="11"/>
  <c r="B24" i="11"/>
  <c r="AC26" i="11" l="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I26" i="11"/>
  <c r="H26" i="11"/>
  <c r="G26" i="11"/>
  <c r="Z52" i="11"/>
  <c r="AB21" i="11" l="1"/>
  <c r="AC138" i="11" l="1"/>
  <c r="AC117" i="11" l="1"/>
  <c r="AC58" i="11" l="1"/>
  <c r="AC101" i="11"/>
  <c r="AC112" i="11"/>
  <c r="AC113" i="11" l="1"/>
  <c r="AC52" i="11" l="1"/>
  <c r="AC51" i="11"/>
  <c r="AC33" i="11"/>
  <c r="AA52" i="11"/>
  <c r="AB52" i="11"/>
  <c r="AC8" i="11"/>
  <c r="AC7" i="11"/>
  <c r="AC73" i="11" l="1"/>
  <c r="I263" i="11"/>
  <c r="I21" i="11" l="1"/>
  <c r="AC240" i="11"/>
  <c r="AC221" i="11"/>
  <c r="AC187" i="11"/>
  <c r="AC181" i="11"/>
  <c r="AC36" i="11"/>
  <c r="AC21" i="11"/>
  <c r="AC248" i="11"/>
  <c r="I247" i="11" l="1"/>
  <c r="I246" i="11"/>
  <c r="I243" i="11"/>
  <c r="I242" i="11"/>
  <c r="I239" i="11"/>
  <c r="I238" i="11"/>
  <c r="I237" i="11"/>
  <c r="I220" i="11"/>
  <c r="I219" i="11"/>
  <c r="I216" i="11"/>
  <c r="I215" i="11"/>
  <c r="I217" i="11"/>
  <c r="I214" i="11"/>
  <c r="I218" i="11"/>
  <c r="I213" i="11"/>
  <c r="I211" i="11"/>
  <c r="I212" i="11"/>
  <c r="I210" i="11"/>
  <c r="I207" i="11"/>
  <c r="I206" i="11"/>
  <c r="I205" i="11"/>
  <c r="I204" i="11"/>
  <c r="I203" i="11"/>
  <c r="I202" i="11"/>
  <c r="I199" i="11"/>
  <c r="I198" i="11"/>
  <c r="I197" i="11"/>
  <c r="I194" i="11"/>
  <c r="I193" i="11"/>
  <c r="I192" i="11"/>
  <c r="I191" i="11"/>
  <c r="I186" i="11"/>
  <c r="I185" i="11"/>
  <c r="I180" i="11"/>
  <c r="I179" i="11"/>
  <c r="I178" i="11"/>
  <c r="I177" i="11"/>
  <c r="I140" i="11"/>
  <c r="I139" i="11"/>
  <c r="I122" i="11"/>
  <c r="I121" i="11"/>
  <c r="I120" i="11"/>
  <c r="I119" i="11"/>
  <c r="I118" i="11"/>
  <c r="I111" i="11"/>
  <c r="I154" i="11" s="1"/>
  <c r="I110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85" i="11"/>
  <c r="I84" i="11"/>
  <c r="I83" i="11"/>
  <c r="I82" i="11"/>
  <c r="I81" i="11"/>
  <c r="I80" i="11"/>
  <c r="I73" i="11"/>
  <c r="I71" i="11"/>
  <c r="I70" i="11"/>
  <c r="I68" i="11"/>
  <c r="I66" i="11"/>
  <c r="I65" i="11"/>
  <c r="I64" i="11"/>
  <c r="I63" i="11"/>
  <c r="I59" i="11"/>
  <c r="I57" i="11"/>
  <c r="I56" i="11"/>
  <c r="I55" i="11"/>
  <c r="I52" i="11"/>
  <c r="I50" i="11"/>
  <c r="I41" i="11"/>
  <c r="I39" i="11"/>
  <c r="I38" i="11"/>
  <c r="I35" i="11"/>
  <c r="I32" i="11"/>
  <c r="I30" i="11"/>
  <c r="I16" i="11"/>
  <c r="I15" i="11"/>
  <c r="I13" i="11"/>
  <c r="I12" i="11"/>
  <c r="I10" i="11"/>
  <c r="I6" i="11"/>
  <c r="I5" i="11"/>
  <c r="I4" i="11"/>
  <c r="I3" i="11"/>
  <c r="J74" i="11"/>
  <c r="I254" i="11"/>
  <c r="I245" i="11"/>
  <c r="I236" i="11"/>
  <c r="I209" i="11"/>
  <c r="I201" i="11"/>
  <c r="I196" i="11"/>
  <c r="I176" i="11"/>
  <c r="I175" i="11"/>
  <c r="I151" i="11"/>
  <c r="I143" i="11"/>
  <c r="I142" i="11"/>
  <c r="I137" i="11"/>
  <c r="I116" i="11"/>
  <c r="I92" i="11"/>
  <c r="I53" i="11"/>
  <c r="I29" i="11"/>
  <c r="AE239" i="11"/>
  <c r="AE238" i="11"/>
  <c r="AE237" i="11"/>
  <c r="AE220" i="11"/>
  <c r="AE219" i="11"/>
  <c r="AE216" i="11"/>
  <c r="AE215" i="11"/>
  <c r="AE217" i="11"/>
  <c r="AE214" i="11"/>
  <c r="AE218" i="11"/>
  <c r="AE213" i="11"/>
  <c r="AE211" i="11"/>
  <c r="AE212" i="11"/>
  <c r="AE210" i="11"/>
  <c r="AE186" i="11"/>
  <c r="AE185" i="11"/>
  <c r="AE180" i="11"/>
  <c r="AE179" i="11"/>
  <c r="AE178" i="11"/>
  <c r="AE177" i="11"/>
  <c r="AE122" i="11"/>
  <c r="AE121" i="11"/>
  <c r="AE120" i="11"/>
  <c r="AE119" i="11"/>
  <c r="AE118" i="11"/>
  <c r="AE111" i="11"/>
  <c r="AE110" i="11"/>
  <c r="AE109" i="11"/>
  <c r="AE108" i="11"/>
  <c r="AE107" i="11"/>
  <c r="AE106" i="11"/>
  <c r="AE105" i="11"/>
  <c r="AE104" i="11"/>
  <c r="AE100" i="11"/>
  <c r="AE99" i="11"/>
  <c r="AE98" i="11"/>
  <c r="AE97" i="11"/>
  <c r="AE96" i="11"/>
  <c r="AE95" i="11"/>
  <c r="AE94" i="11"/>
  <c r="AE85" i="11"/>
  <c r="AE84" i="11"/>
  <c r="AE83" i="11"/>
  <c r="AE82" i="11"/>
  <c r="AE81" i="11"/>
  <c r="AE80" i="11"/>
  <c r="AE74" i="11"/>
  <c r="AE70" i="11"/>
  <c r="AE68" i="11"/>
  <c r="AE66" i="11"/>
  <c r="AE65" i="11"/>
  <c r="AE64" i="11"/>
  <c r="AE63" i="11"/>
  <c r="AE59" i="11"/>
  <c r="AE57" i="11"/>
  <c r="AE56" i="11"/>
  <c r="AE55" i="11"/>
  <c r="AE50" i="11"/>
  <c r="AE41" i="11"/>
  <c r="AE39" i="11"/>
  <c r="AE38" i="11"/>
  <c r="AE35" i="11"/>
  <c r="AE32" i="11"/>
  <c r="AE16" i="11"/>
  <c r="AE15" i="11"/>
  <c r="AE6" i="11"/>
  <c r="AE5" i="11"/>
  <c r="AE4" i="11"/>
  <c r="AE3" i="11"/>
  <c r="AD239" i="11"/>
  <c r="AD238" i="11"/>
  <c r="AD237" i="11"/>
  <c r="AD220" i="11"/>
  <c r="AD219" i="11"/>
  <c r="AD216" i="11"/>
  <c r="AD215" i="11"/>
  <c r="AD217" i="11"/>
  <c r="AD214" i="11"/>
  <c r="AD218" i="11"/>
  <c r="AD213" i="11"/>
  <c r="AD211" i="11"/>
  <c r="AD212" i="11"/>
  <c r="AD210" i="11"/>
  <c r="AD186" i="11"/>
  <c r="AD185" i="11"/>
  <c r="AD180" i="11"/>
  <c r="AD179" i="11"/>
  <c r="AD178" i="11"/>
  <c r="AD177" i="11"/>
  <c r="AD122" i="11"/>
  <c r="AD121" i="11"/>
  <c r="AD120" i="11"/>
  <c r="AD119" i="11"/>
  <c r="AD118" i="11"/>
  <c r="AD111" i="11"/>
  <c r="AD110" i="11"/>
  <c r="AD109" i="11"/>
  <c r="AD108" i="11"/>
  <c r="AD107" i="11"/>
  <c r="AD106" i="11"/>
  <c r="AD105" i="11"/>
  <c r="AD104" i="11"/>
  <c r="AD100" i="11"/>
  <c r="AD99" i="11"/>
  <c r="AD98" i="11"/>
  <c r="AD97" i="11"/>
  <c r="AD96" i="11"/>
  <c r="AD95" i="11"/>
  <c r="AD94" i="11"/>
  <c r="AD85" i="11"/>
  <c r="AD84" i="11"/>
  <c r="AD83" i="11"/>
  <c r="AD82" i="11"/>
  <c r="AD81" i="11"/>
  <c r="AD80" i="11"/>
  <c r="AD74" i="11"/>
  <c r="AD70" i="11"/>
  <c r="AD68" i="11"/>
  <c r="AD66" i="11"/>
  <c r="AD65" i="11"/>
  <c r="AD64" i="11"/>
  <c r="AD63" i="11"/>
  <c r="AD59" i="11"/>
  <c r="AD57" i="11"/>
  <c r="AD56" i="11"/>
  <c r="AD55" i="11"/>
  <c r="AD50" i="11"/>
  <c r="AD41" i="11"/>
  <c r="AD39" i="11"/>
  <c r="AD38" i="11"/>
  <c r="AD35" i="11"/>
  <c r="AD32" i="11"/>
  <c r="AD16" i="11"/>
  <c r="AD15" i="11"/>
  <c r="AD6" i="11"/>
  <c r="AD5" i="11"/>
  <c r="AD4" i="11"/>
  <c r="AD3" i="11"/>
  <c r="AC265" i="11"/>
  <c r="AC252" i="11"/>
  <c r="AC251" i="11"/>
  <c r="AC250" i="11"/>
  <c r="AC249" i="11"/>
  <c r="AC245" i="11"/>
  <c r="AC236" i="11"/>
  <c r="AC231" i="11"/>
  <c r="AC209" i="11"/>
  <c r="AC201" i="11"/>
  <c r="AC196" i="11"/>
  <c r="AC190" i="11"/>
  <c r="AC188" i="11"/>
  <c r="AC182" i="11"/>
  <c r="AC175" i="11"/>
  <c r="AC154" i="11"/>
  <c r="AC75" i="11" s="1"/>
  <c r="AC151" i="11"/>
  <c r="AC143" i="11"/>
  <c r="AC142" i="11"/>
  <c r="AC148" i="11"/>
  <c r="AC137" i="11"/>
  <c r="AC125" i="11"/>
  <c r="AC124" i="11"/>
  <c r="AC145" i="11"/>
  <c r="AC116" i="11"/>
  <c r="AC152" i="11"/>
  <c r="AC92" i="11"/>
  <c r="AC86" i="11"/>
  <c r="AC62" i="11"/>
  <c r="AC60" i="11"/>
  <c r="AC61" i="11"/>
  <c r="AC53" i="11"/>
  <c r="AC47" i="11"/>
  <c r="AC45" i="11"/>
  <c r="AC44" i="11"/>
  <c r="AC42" i="11"/>
  <c r="AC40" i="11"/>
  <c r="AC29" i="11"/>
  <c r="AB138" i="11"/>
  <c r="AB101" i="11"/>
  <c r="AB112" i="11"/>
  <c r="I138" i="11" l="1"/>
  <c r="I148" i="11" s="1"/>
  <c r="I240" i="11"/>
  <c r="I248" i="11"/>
  <c r="I101" i="11"/>
  <c r="I152" i="11" s="1"/>
  <c r="I62" i="11"/>
  <c r="I60" i="11"/>
  <c r="I112" i="11"/>
  <c r="I117" i="11"/>
  <c r="I145" i="11" s="1"/>
  <c r="I33" i="11"/>
  <c r="I36" i="11"/>
  <c r="I221" i="11"/>
  <c r="I232" i="11" s="1"/>
  <c r="I125" i="11"/>
  <c r="I86" i="11"/>
  <c r="I40" i="11"/>
  <c r="I51" i="11"/>
  <c r="I47" i="11"/>
  <c r="I44" i="11"/>
  <c r="I45" i="11"/>
  <c r="I190" i="11"/>
  <c r="I124" i="11"/>
  <c r="I123" i="11" s="1"/>
  <c r="I8" i="11"/>
  <c r="I58" i="11"/>
  <c r="I75" i="11"/>
  <c r="I181" i="11"/>
  <c r="I182" i="11" s="1"/>
  <c r="I7" i="11"/>
  <c r="I42" i="11"/>
  <c r="I187" i="11"/>
  <c r="I188" i="11" s="1"/>
  <c r="AC67" i="11"/>
  <c r="AC227" i="11"/>
  <c r="AC230" i="11"/>
  <c r="AE112" i="11"/>
  <c r="AE101" i="11"/>
  <c r="AC48" i="11"/>
  <c r="AC147" i="11"/>
  <c r="AC90" i="11"/>
  <c r="AC232" i="11"/>
  <c r="AC228" i="11"/>
  <c r="AC224" i="11"/>
  <c r="AC233" i="11"/>
  <c r="AC229" i="11"/>
  <c r="AC225" i="11"/>
  <c r="AC89" i="11"/>
  <c r="AC123" i="11"/>
  <c r="AC226" i="11"/>
  <c r="AC223" i="11"/>
  <c r="AB7" i="11"/>
  <c r="AB8" i="11"/>
  <c r="I48" i="11" l="1"/>
  <c r="I230" i="11"/>
  <c r="I225" i="11"/>
  <c r="I113" i="11"/>
  <c r="I231" i="11"/>
  <c r="I226" i="11"/>
  <c r="I228" i="11"/>
  <c r="I229" i="11"/>
  <c r="I223" i="11"/>
  <c r="I233" i="11"/>
  <c r="I224" i="11"/>
  <c r="I227" i="11"/>
  <c r="I147" i="11"/>
  <c r="I89" i="11"/>
  <c r="I126" i="11"/>
  <c r="I134" i="11" s="1"/>
  <c r="I61" i="11"/>
  <c r="AC69" i="11"/>
  <c r="AC72" i="11" s="1"/>
  <c r="AC126" i="11"/>
  <c r="AC132" i="11" s="1"/>
  <c r="AC234" i="11"/>
  <c r="AB36" i="11"/>
  <c r="I234" i="11" l="1"/>
  <c r="I135" i="11"/>
  <c r="I129" i="11"/>
  <c r="I131" i="11"/>
  <c r="I133" i="11"/>
  <c r="I130" i="11"/>
  <c r="I132" i="11"/>
  <c r="I67" i="11"/>
  <c r="I90" i="11"/>
  <c r="AC130" i="11"/>
  <c r="AC76" i="11"/>
  <c r="AC135" i="11"/>
  <c r="AC133" i="11"/>
  <c r="AC131" i="11"/>
  <c r="AC134" i="11"/>
  <c r="AC129" i="11"/>
  <c r="AB73" i="11"/>
  <c r="AE73" i="11" s="1"/>
  <c r="E125" i="11"/>
  <c r="D125" i="11"/>
  <c r="C125" i="11"/>
  <c r="B125" i="11"/>
  <c r="E124" i="11"/>
  <c r="D124" i="11"/>
  <c r="C124" i="11"/>
  <c r="B124" i="11"/>
  <c r="F125" i="11"/>
  <c r="F124" i="11"/>
  <c r="AA125" i="11"/>
  <c r="Z125" i="11"/>
  <c r="Y125" i="11"/>
  <c r="AD125" i="11" s="1"/>
  <c r="X125" i="11"/>
  <c r="W125" i="11"/>
  <c r="V125" i="11"/>
  <c r="U125" i="11"/>
  <c r="T125" i="11"/>
  <c r="S125" i="11"/>
  <c r="R125" i="11"/>
  <c r="Q125" i="11"/>
  <c r="P125" i="11"/>
  <c r="O125" i="11"/>
  <c r="N125" i="11"/>
  <c r="AA124" i="11"/>
  <c r="Z124" i="11"/>
  <c r="Y124" i="11"/>
  <c r="AD124" i="11" s="1"/>
  <c r="X124" i="11"/>
  <c r="W124" i="11"/>
  <c r="V124" i="11"/>
  <c r="U124" i="11"/>
  <c r="T124" i="11"/>
  <c r="S124" i="11"/>
  <c r="R124" i="11"/>
  <c r="P124" i="11"/>
  <c r="O124" i="11"/>
  <c r="N124" i="11"/>
  <c r="AB125" i="11"/>
  <c r="AE125" i="11" s="1"/>
  <c r="AB124" i="11"/>
  <c r="AE124" i="11" s="1"/>
  <c r="C123" i="11" l="1"/>
  <c r="I69" i="11"/>
  <c r="D123" i="11"/>
  <c r="E123" i="11"/>
  <c r="B123" i="11"/>
  <c r="Z123" i="11"/>
  <c r="R123" i="11"/>
  <c r="V123" i="11"/>
  <c r="W123" i="11"/>
  <c r="X123" i="11"/>
  <c r="P123" i="11"/>
  <c r="N123" i="11"/>
  <c r="T123" i="11"/>
  <c r="O123" i="11"/>
  <c r="AB123" i="11"/>
  <c r="AE123" i="11" s="1"/>
  <c r="F123" i="11"/>
  <c r="Y123" i="11"/>
  <c r="AD123" i="11" s="1"/>
  <c r="S123" i="11"/>
  <c r="AA123" i="11"/>
  <c r="U123" i="11"/>
  <c r="G5" i="11"/>
  <c r="G125" i="11" s="1"/>
  <c r="G6" i="11"/>
  <c r="G4" i="11"/>
  <c r="G124" i="11" s="1"/>
  <c r="H5" i="11"/>
  <c r="J5" i="11" s="1"/>
  <c r="AA8" i="11"/>
  <c r="Z8" i="11"/>
  <c r="Y8" i="11"/>
  <c r="X8" i="11"/>
  <c r="W8" i="11"/>
  <c r="V8" i="11"/>
  <c r="I72" i="11" l="1"/>
  <c r="G123" i="11"/>
  <c r="H125" i="11"/>
  <c r="J125" i="11" s="1"/>
  <c r="I76" i="11" l="1"/>
  <c r="AB265" i="11"/>
  <c r="AB252" i="11"/>
  <c r="AB251" i="11"/>
  <c r="AB250" i="11"/>
  <c r="AB249" i="11"/>
  <c r="AB248" i="11"/>
  <c r="AB245" i="11"/>
  <c r="AB240" i="11"/>
  <c r="AE240" i="11" s="1"/>
  <c r="AB236" i="11"/>
  <c r="AB221" i="11"/>
  <c r="AB209" i="11"/>
  <c r="AB201" i="11"/>
  <c r="AB196" i="11"/>
  <c r="AB190" i="11"/>
  <c r="AE190" i="11" s="1"/>
  <c r="AB187" i="11"/>
  <c r="AE187" i="11" s="1"/>
  <c r="AB181" i="11"/>
  <c r="AB175" i="11"/>
  <c r="AB154" i="11"/>
  <c r="AB151" i="11"/>
  <c r="AB143" i="11"/>
  <c r="AB142" i="11"/>
  <c r="AB148" i="11"/>
  <c r="AB137" i="11"/>
  <c r="AB117" i="11"/>
  <c r="AB116" i="11"/>
  <c r="AB152" i="11"/>
  <c r="AB92" i="11"/>
  <c r="AB86" i="11"/>
  <c r="AE86" i="11" s="1"/>
  <c r="AB62" i="11"/>
  <c r="AE62" i="11" s="1"/>
  <c r="AB60" i="11"/>
  <c r="AE60" i="11" s="1"/>
  <c r="AB58" i="11"/>
  <c r="AE58" i="11" s="1"/>
  <c r="AB53" i="11"/>
  <c r="AB51" i="11"/>
  <c r="AB47" i="11"/>
  <c r="AB45" i="11"/>
  <c r="AE45" i="11" s="1"/>
  <c r="AB44" i="11"/>
  <c r="AE44" i="11" s="1"/>
  <c r="AB42" i="11"/>
  <c r="AE42" i="11" s="1"/>
  <c r="AB40" i="11"/>
  <c r="AE40" i="11" s="1"/>
  <c r="AB33" i="11"/>
  <c r="AB29" i="11"/>
  <c r="U110" i="11"/>
  <c r="U100" i="11"/>
  <c r="U99" i="11"/>
  <c r="AB182" i="11" l="1"/>
  <c r="AE181" i="11"/>
  <c r="AB145" i="11"/>
  <c r="AB147" i="11" s="1"/>
  <c r="AE117" i="11"/>
  <c r="AB75" i="11"/>
  <c r="AE75" i="11" s="1"/>
  <c r="AC155" i="11"/>
  <c r="AE154" i="11"/>
  <c r="AE152" i="11"/>
  <c r="AC153" i="11"/>
  <c r="AB229" i="11"/>
  <c r="AE221" i="11"/>
  <c r="AB225" i="11"/>
  <c r="AB232" i="11"/>
  <c r="AB126" i="11"/>
  <c r="AE126" i="11" s="1"/>
  <c r="AB113" i="11"/>
  <c r="AB227" i="11"/>
  <c r="AB188" i="11"/>
  <c r="AB224" i="11"/>
  <c r="AB233" i="11"/>
  <c r="AB61" i="11"/>
  <c r="AE61" i="11" s="1"/>
  <c r="AB226" i="11"/>
  <c r="AB89" i="11"/>
  <c r="AB231" i="11"/>
  <c r="AB48" i="11"/>
  <c r="AB230" i="11"/>
  <c r="AB228" i="11"/>
  <c r="AB223" i="11"/>
  <c r="U107" i="11"/>
  <c r="AC173" i="11" l="1"/>
  <c r="AE145" i="11"/>
  <c r="AC146" i="11"/>
  <c r="AC170" i="11"/>
  <c r="AC168" i="11"/>
  <c r="AC163" i="11"/>
  <c r="AC165" i="11"/>
  <c r="AC167" i="11"/>
  <c r="AC158" i="11"/>
  <c r="AC159" i="11"/>
  <c r="AC156" i="11"/>
  <c r="AC157" i="11"/>
  <c r="AC160" i="11"/>
  <c r="AC164" i="11"/>
  <c r="AC172" i="11"/>
  <c r="AB129" i="11"/>
  <c r="AB130" i="11"/>
  <c r="AB131" i="11"/>
  <c r="AB132" i="11"/>
  <c r="AB133" i="11"/>
  <c r="AB134" i="11"/>
  <c r="AB135" i="11"/>
  <c r="AB234" i="11"/>
  <c r="AB67" i="11"/>
  <c r="AE67" i="11" s="1"/>
  <c r="AB90" i="11"/>
  <c r="AA119" i="11"/>
  <c r="AC166" i="11" l="1"/>
  <c r="AC169" i="11" s="1"/>
  <c r="AC171" i="11" s="1"/>
  <c r="AC161" i="11"/>
  <c r="AC162" i="11"/>
  <c r="AC149" i="11"/>
  <c r="AB69" i="11"/>
  <c r="AE69" i="11" s="1"/>
  <c r="AA118" i="11"/>
  <c r="AA47" i="11"/>
  <c r="AA36" i="11"/>
  <c r="AA33" i="11"/>
  <c r="AB72" i="11" l="1"/>
  <c r="AE72" i="11" s="1"/>
  <c r="AA73" i="11"/>
  <c r="AA181" i="11"/>
  <c r="AA51" i="11"/>
  <c r="AA248" i="11"/>
  <c r="AA21" i="11"/>
  <c r="AA182" i="11" l="1"/>
  <c r="AB76" i="11"/>
  <c r="AE76" i="11" s="1"/>
  <c r="AA265" i="11"/>
  <c r="AA252" i="11"/>
  <c r="AA251" i="11"/>
  <c r="AA250" i="11"/>
  <c r="AA249" i="11"/>
  <c r="AA245" i="11"/>
  <c r="AA240" i="11"/>
  <c r="AA236" i="11"/>
  <c r="AA221" i="11"/>
  <c r="AA209" i="11"/>
  <c r="AA201" i="11"/>
  <c r="AA196" i="11"/>
  <c r="AA190" i="11"/>
  <c r="AA187" i="11"/>
  <c r="AA175" i="11"/>
  <c r="AA154" i="11"/>
  <c r="AA151" i="11"/>
  <c r="AA143" i="11"/>
  <c r="AA142" i="11"/>
  <c r="AA138" i="11"/>
  <c r="AA148" i="11" s="1"/>
  <c r="AA137" i="11"/>
  <c r="AA117" i="11"/>
  <c r="AA116" i="11"/>
  <c r="AA112" i="11"/>
  <c r="AA101" i="11"/>
  <c r="AA92" i="11"/>
  <c r="AA86" i="11"/>
  <c r="AA62" i="11"/>
  <c r="AA60" i="11"/>
  <c r="AA58" i="11"/>
  <c r="AA53" i="11"/>
  <c r="AA45" i="11"/>
  <c r="AA44" i="11"/>
  <c r="AA42" i="11"/>
  <c r="AA40" i="11"/>
  <c r="AA29" i="11"/>
  <c r="AA7" i="11"/>
  <c r="Z138" i="11"/>
  <c r="Z118" i="11"/>
  <c r="AA152" i="11" l="1"/>
  <c r="AA231" i="11"/>
  <c r="AA75" i="11"/>
  <c r="AB155" i="11"/>
  <c r="AA61" i="11"/>
  <c r="AA188" i="11"/>
  <c r="AA48" i="11"/>
  <c r="AA145" i="11"/>
  <c r="AA224" i="11"/>
  <c r="AA227" i="11"/>
  <c r="AA113" i="11"/>
  <c r="AA233" i="11"/>
  <c r="AA89" i="11"/>
  <c r="AA126" i="11"/>
  <c r="AA230" i="11"/>
  <c r="AA228" i="11"/>
  <c r="AA223" i="11"/>
  <c r="AA229" i="11"/>
  <c r="AA225" i="11"/>
  <c r="AA232" i="11"/>
  <c r="AA226" i="11"/>
  <c r="Z73" i="11"/>
  <c r="AB173" i="11" l="1"/>
  <c r="AE155" i="11"/>
  <c r="AA135" i="11"/>
  <c r="AA134" i="11"/>
  <c r="AA67" i="11"/>
  <c r="AA90" i="11"/>
  <c r="AB146" i="11"/>
  <c r="AE146" i="11" s="1"/>
  <c r="AB153" i="11"/>
  <c r="AE153" i="11" s="1"/>
  <c r="AA147" i="11"/>
  <c r="AA234" i="11"/>
  <c r="AA133" i="11"/>
  <c r="AA132" i="11"/>
  <c r="AA131" i="11"/>
  <c r="AA130" i="11"/>
  <c r="AA129" i="11"/>
  <c r="Z33" i="11"/>
  <c r="AB149" i="11" l="1"/>
  <c r="AA69" i="11"/>
  <c r="AB168" i="11"/>
  <c r="AB160" i="11"/>
  <c r="AB167" i="11"/>
  <c r="AB158" i="11"/>
  <c r="AB163" i="11"/>
  <c r="AB170" i="11"/>
  <c r="AB165" i="11"/>
  <c r="AB157" i="11"/>
  <c r="AB156" i="11"/>
  <c r="AB159" i="11"/>
  <c r="AB164" i="11"/>
  <c r="AB172" i="11"/>
  <c r="Z240" i="11"/>
  <c r="Z221" i="11"/>
  <c r="Z207" i="11"/>
  <c r="Z47" i="11"/>
  <c r="Z36" i="11"/>
  <c r="Z21" i="11"/>
  <c r="AA72" i="11" l="1"/>
  <c r="AB161" i="11"/>
  <c r="AB166" i="11"/>
  <c r="AB169" i="11" s="1"/>
  <c r="AB171" i="11" s="1"/>
  <c r="AB162" i="11"/>
  <c r="X36" i="11"/>
  <c r="W36" i="11"/>
  <c r="V36" i="11"/>
  <c r="U36" i="11"/>
  <c r="T36" i="11"/>
  <c r="Y36" i="11"/>
  <c r="H35" i="11"/>
  <c r="G35" i="11"/>
  <c r="AA76" i="11" l="1"/>
  <c r="Z265" i="11"/>
  <c r="Z252" i="11"/>
  <c r="Z251" i="11"/>
  <c r="Z250" i="11"/>
  <c r="Z249" i="11"/>
  <c r="Z248" i="11"/>
  <c r="Z245" i="11"/>
  <c r="Z236" i="11"/>
  <c r="Z231" i="11"/>
  <c r="Z209" i="11"/>
  <c r="Z201" i="11"/>
  <c r="Z196" i="11"/>
  <c r="Z190" i="11"/>
  <c r="Z187" i="11"/>
  <c r="Z181" i="11"/>
  <c r="Z175" i="11"/>
  <c r="Z154" i="11"/>
  <c r="Z151" i="11"/>
  <c r="Z143" i="11"/>
  <c r="Z142" i="11"/>
  <c r="Z148" i="11"/>
  <c r="Z137" i="11"/>
  <c r="Z117" i="11"/>
  <c r="Z116" i="11"/>
  <c r="Z112" i="11"/>
  <c r="Z101" i="11"/>
  <c r="Z92" i="11"/>
  <c r="Z86" i="11"/>
  <c r="Z62" i="11"/>
  <c r="Z60" i="11"/>
  <c r="Z58" i="11"/>
  <c r="Z53" i="11"/>
  <c r="Z51" i="11"/>
  <c r="Z45" i="11"/>
  <c r="Z44" i="11"/>
  <c r="Z42" i="11"/>
  <c r="Z40" i="11"/>
  <c r="Z29" i="11"/>
  <c r="Z7" i="11"/>
  <c r="F97" i="11"/>
  <c r="F100" i="11"/>
  <c r="P100" i="11"/>
  <c r="P97" i="11"/>
  <c r="O97" i="11"/>
  <c r="O100" i="11"/>
  <c r="N100" i="11"/>
  <c r="N97" i="11"/>
  <c r="E97" i="11"/>
  <c r="E100" i="11"/>
  <c r="T100" i="11"/>
  <c r="T97" i="11"/>
  <c r="S97" i="11"/>
  <c r="S100" i="11"/>
  <c r="R100" i="11"/>
  <c r="R97" i="11"/>
  <c r="V97" i="11"/>
  <c r="W97" i="11"/>
  <c r="X97" i="11"/>
  <c r="Z188" i="11" l="1"/>
  <c r="Z61" i="11"/>
  <c r="Z145" i="11"/>
  <c r="Z182" i="11"/>
  <c r="Z48" i="11"/>
  <c r="Z75" i="11"/>
  <c r="AA155" i="11"/>
  <c r="Z226" i="11"/>
  <c r="Z230" i="11"/>
  <c r="Z227" i="11"/>
  <c r="Z232" i="11"/>
  <c r="Z233" i="11"/>
  <c r="Z113" i="11"/>
  <c r="Z224" i="11"/>
  <c r="Z225" i="11"/>
  <c r="Z89" i="11"/>
  <c r="Z126" i="11"/>
  <c r="Z152" i="11"/>
  <c r="Z228" i="11"/>
  <c r="Z223" i="11"/>
  <c r="Z229" i="11"/>
  <c r="B100" i="11"/>
  <c r="C100" i="11"/>
  <c r="Z135" i="11" l="1"/>
  <c r="Z134" i="11"/>
  <c r="Z90" i="11"/>
  <c r="Z67" i="11"/>
  <c r="AA146" i="11"/>
  <c r="AA173" i="11"/>
  <c r="AA153" i="11"/>
  <c r="Z147" i="11"/>
  <c r="Z133" i="11"/>
  <c r="Z132" i="11"/>
  <c r="Z131" i="11"/>
  <c r="Z130" i="11"/>
  <c r="Z129" i="11"/>
  <c r="Z234" i="11"/>
  <c r="H99" i="11"/>
  <c r="H13" i="11"/>
  <c r="J13" i="11" s="1"/>
  <c r="AA149" i="11" l="1"/>
  <c r="AA157" i="11"/>
  <c r="Z69" i="11"/>
  <c r="AA160" i="11"/>
  <c r="AA168" i="11"/>
  <c r="AA172" i="11"/>
  <c r="AA164" i="11"/>
  <c r="AA156" i="11"/>
  <c r="AA170" i="11"/>
  <c r="AA158" i="11"/>
  <c r="AA163" i="11"/>
  <c r="AA159" i="11"/>
  <c r="AA165" i="11"/>
  <c r="AA167" i="11"/>
  <c r="H12" i="11"/>
  <c r="J12" i="11" s="1"/>
  <c r="G12" i="11"/>
  <c r="AA162" i="11" l="1"/>
  <c r="Z72" i="11"/>
  <c r="AA166" i="11"/>
  <c r="AA169" i="11" s="1"/>
  <c r="AA171" i="11" s="1"/>
  <c r="AA161" i="11"/>
  <c r="Y240" i="11"/>
  <c r="AD240" i="11" s="1"/>
  <c r="Y181" i="11"/>
  <c r="AD181" i="11" s="1"/>
  <c r="Y33" i="11"/>
  <c r="Y7" i="11"/>
  <c r="Z76" i="11" l="1"/>
  <c r="H263" i="11"/>
  <c r="Y73" i="11" l="1"/>
  <c r="AD73" i="11" s="1"/>
  <c r="H143" i="11" l="1"/>
  <c r="Y221" i="11"/>
  <c r="AD221" i="11" s="1"/>
  <c r="Y207" i="11" l="1"/>
  <c r="H21" i="11" l="1"/>
  <c r="Y21" i="11"/>
  <c r="H247" i="11" l="1"/>
  <c r="H246" i="11"/>
  <c r="H243" i="11"/>
  <c r="H242" i="11"/>
  <c r="H239" i="11"/>
  <c r="H238" i="11"/>
  <c r="H237" i="11"/>
  <c r="H220" i="11"/>
  <c r="H219" i="11"/>
  <c r="H216" i="11"/>
  <c r="H215" i="11"/>
  <c r="H217" i="11"/>
  <c r="H214" i="11"/>
  <c r="H218" i="11"/>
  <c r="H213" i="11"/>
  <c r="H211" i="11"/>
  <c r="H212" i="11"/>
  <c r="H210" i="11"/>
  <c r="H207" i="11"/>
  <c r="H206" i="11"/>
  <c r="H205" i="11"/>
  <c r="H204" i="11"/>
  <c r="H203" i="11"/>
  <c r="H202" i="11"/>
  <c r="H199" i="11"/>
  <c r="H198" i="11"/>
  <c r="H197" i="11"/>
  <c r="H194" i="11"/>
  <c r="H193" i="11"/>
  <c r="H192" i="11"/>
  <c r="H191" i="11"/>
  <c r="H186" i="11"/>
  <c r="H185" i="11"/>
  <c r="H180" i="11"/>
  <c r="H179" i="11"/>
  <c r="H178" i="11"/>
  <c r="H177" i="11"/>
  <c r="H140" i="11"/>
  <c r="H139" i="11"/>
  <c r="H122" i="11"/>
  <c r="J122" i="11" s="1"/>
  <c r="H121" i="11"/>
  <c r="J121" i="11" s="1"/>
  <c r="H120" i="11"/>
  <c r="J120" i="11" s="1"/>
  <c r="H119" i="11"/>
  <c r="J119" i="11" s="1"/>
  <c r="H118" i="11"/>
  <c r="J118" i="11" s="1"/>
  <c r="H109" i="11"/>
  <c r="H73" i="11"/>
  <c r="J73" i="11" s="1"/>
  <c r="H71" i="11"/>
  <c r="H16" i="11"/>
  <c r="H15" i="11"/>
  <c r="J15" i="11" s="1"/>
  <c r="H52" i="11"/>
  <c r="H50" i="11"/>
  <c r="H41" i="11"/>
  <c r="H39" i="11"/>
  <c r="H38" i="11"/>
  <c r="H32" i="11"/>
  <c r="H30" i="11"/>
  <c r="H10" i="11"/>
  <c r="J10" i="11" s="1"/>
  <c r="H6" i="11"/>
  <c r="H4" i="11"/>
  <c r="H3" i="11"/>
  <c r="H254" i="11"/>
  <c r="H245" i="11"/>
  <c r="H236" i="11"/>
  <c r="H209" i="11"/>
  <c r="H201" i="11"/>
  <c r="H196" i="11"/>
  <c r="H176" i="11"/>
  <c r="H175" i="11"/>
  <c r="H151" i="11"/>
  <c r="H142" i="11"/>
  <c r="H137" i="11"/>
  <c r="H116" i="11"/>
  <c r="H92" i="11"/>
  <c r="H53" i="11"/>
  <c r="H29" i="11"/>
  <c r="Y265" i="11"/>
  <c r="Y252" i="11"/>
  <c r="Y251" i="11"/>
  <c r="Y250" i="11"/>
  <c r="Y249" i="11"/>
  <c r="Y248" i="11"/>
  <c r="Y245" i="11"/>
  <c r="Y236" i="11"/>
  <c r="Y228" i="11"/>
  <c r="Y209" i="11"/>
  <c r="Y201" i="11"/>
  <c r="Y196" i="11"/>
  <c r="Y190" i="11"/>
  <c r="AD190" i="11" s="1"/>
  <c r="Y187" i="11"/>
  <c r="AD187" i="11" s="1"/>
  <c r="Y182" i="11"/>
  <c r="Y175" i="11"/>
  <c r="Y151" i="11"/>
  <c r="Y143" i="11"/>
  <c r="Y142" i="11"/>
  <c r="Y138" i="11"/>
  <c r="Y148" i="11" s="1"/>
  <c r="Y137" i="11"/>
  <c r="Y117" i="11"/>
  <c r="AD117" i="11" s="1"/>
  <c r="Y116" i="11"/>
  <c r="Y92" i="11"/>
  <c r="Y53" i="11"/>
  <c r="Y51" i="11"/>
  <c r="Y47" i="11"/>
  <c r="Y45" i="11"/>
  <c r="AD45" i="11" s="1"/>
  <c r="Y44" i="11"/>
  <c r="AD44" i="11" s="1"/>
  <c r="Y42" i="11"/>
  <c r="AD42" i="11" s="1"/>
  <c r="Y40" i="11"/>
  <c r="AD40" i="11" s="1"/>
  <c r="Y29" i="11"/>
  <c r="X44" i="11"/>
  <c r="H124" i="11" l="1"/>
  <c r="J124" i="11" s="1"/>
  <c r="J4" i="11"/>
  <c r="H36" i="11"/>
  <c r="J6" i="11"/>
  <c r="I249" i="11"/>
  <c r="I250" i="11"/>
  <c r="I252" i="11"/>
  <c r="I251" i="11"/>
  <c r="H190" i="11"/>
  <c r="J16" i="11"/>
  <c r="H8" i="11"/>
  <c r="J3" i="11"/>
  <c r="H248" i="11"/>
  <c r="H240" i="11"/>
  <c r="Y188" i="11"/>
  <c r="H40" i="11"/>
  <c r="H44" i="11"/>
  <c r="H138" i="11"/>
  <c r="H148" i="11" s="1"/>
  <c r="H33" i="11"/>
  <c r="H181" i="11"/>
  <c r="H182" i="11" s="1"/>
  <c r="H187" i="11"/>
  <c r="H188" i="11" s="1"/>
  <c r="H249" i="11"/>
  <c r="H221" i="11"/>
  <c r="H225" i="11" s="1"/>
  <c r="H117" i="11"/>
  <c r="H250" i="11"/>
  <c r="H252" i="11"/>
  <c r="H42" i="11"/>
  <c r="H47" i="11"/>
  <c r="H51" i="11"/>
  <c r="H45" i="11"/>
  <c r="H251" i="11"/>
  <c r="H7" i="11"/>
  <c r="Y226" i="11"/>
  <c r="Y126" i="11"/>
  <c r="AD126" i="11" s="1"/>
  <c r="Y223" i="11"/>
  <c r="Y229" i="11"/>
  <c r="Y48" i="11"/>
  <c r="Y145" i="11"/>
  <c r="AD145" i="11" s="1"/>
  <c r="Y225" i="11"/>
  <c r="Y232" i="11"/>
  <c r="Y224" i="11"/>
  <c r="Y233" i="11"/>
  <c r="Y231" i="11"/>
  <c r="Y227" i="11"/>
  <c r="Y230" i="11"/>
  <c r="X73" i="11"/>
  <c r="X181" i="11"/>
  <c r="H123" i="11" l="1"/>
  <c r="J123" i="11" s="1"/>
  <c r="H145" i="11"/>
  <c r="J117" i="11"/>
  <c r="Y135" i="11"/>
  <c r="Y134" i="11"/>
  <c r="Y131" i="11"/>
  <c r="Z146" i="11"/>
  <c r="H48" i="11"/>
  <c r="H126" i="11"/>
  <c r="J126" i="11" s="1"/>
  <c r="H232" i="11"/>
  <c r="H231" i="11"/>
  <c r="H227" i="11"/>
  <c r="H223" i="11"/>
  <c r="H233" i="11"/>
  <c r="H229" i="11"/>
  <c r="H228" i="11"/>
  <c r="H226" i="11"/>
  <c r="H224" i="11"/>
  <c r="H230" i="11"/>
  <c r="Y234" i="11"/>
  <c r="Y133" i="11"/>
  <c r="Y129" i="11"/>
  <c r="Y132" i="11"/>
  <c r="Y130" i="11"/>
  <c r="X138" i="11"/>
  <c r="X86" i="11"/>
  <c r="W86" i="11"/>
  <c r="V86" i="11"/>
  <c r="R86" i="11"/>
  <c r="Q86" i="11"/>
  <c r="N86" i="11"/>
  <c r="G86" i="11"/>
  <c r="F86" i="11"/>
  <c r="E86" i="11"/>
  <c r="D86" i="11"/>
  <c r="C86" i="11"/>
  <c r="B86" i="11"/>
  <c r="X117" i="11"/>
  <c r="I146" i="11" l="1"/>
  <c r="J145" i="11"/>
  <c r="H135" i="11"/>
  <c r="H134" i="11"/>
  <c r="H130" i="11"/>
  <c r="H132" i="11"/>
  <c r="H131" i="11"/>
  <c r="H129" i="11"/>
  <c r="H133" i="11"/>
  <c r="H234" i="11"/>
  <c r="X101" i="11"/>
  <c r="X51" i="11" l="1"/>
  <c r="X33" i="11"/>
  <c r="X7" i="11"/>
  <c r="X240" i="11"/>
  <c r="X221" i="11"/>
  <c r="X207" i="11"/>
  <c r="X187" i="11"/>
  <c r="X145" i="11"/>
  <c r="X42" i="11"/>
  <c r="X40" i="11"/>
  <c r="X21" i="11"/>
  <c r="X232" i="11" l="1"/>
  <c r="Y146" i="11"/>
  <c r="AD146" i="11" s="1"/>
  <c r="X245" i="11"/>
  <c r="X53" i="11"/>
  <c r="X265" i="11"/>
  <c r="X252" i="11"/>
  <c r="X251" i="11"/>
  <c r="X250" i="11"/>
  <c r="X249" i="11"/>
  <c r="X248" i="11"/>
  <c r="X236" i="11"/>
  <c r="X226" i="11"/>
  <c r="X209" i="11"/>
  <c r="X201" i="11"/>
  <c r="X196" i="11"/>
  <c r="X190" i="11"/>
  <c r="X188" i="11"/>
  <c r="X182" i="11"/>
  <c r="X175" i="11"/>
  <c r="X154" i="11"/>
  <c r="X151" i="11"/>
  <c r="X143" i="11"/>
  <c r="X142" i="11"/>
  <c r="X148" i="11"/>
  <c r="X137" i="11"/>
  <c r="X116" i="11"/>
  <c r="X112" i="11"/>
  <c r="X92" i="11"/>
  <c r="X62" i="11"/>
  <c r="X60" i="11"/>
  <c r="X58" i="11"/>
  <c r="X47" i="11"/>
  <c r="X45" i="11"/>
  <c r="X29" i="11"/>
  <c r="G221" i="11"/>
  <c r="G226" i="11" s="1"/>
  <c r="F221" i="11"/>
  <c r="F232" i="11" s="1"/>
  <c r="E221" i="11"/>
  <c r="E230" i="11" s="1"/>
  <c r="D221" i="11"/>
  <c r="D229" i="11" s="1"/>
  <c r="C221" i="11"/>
  <c r="C227" i="11" s="1"/>
  <c r="B221" i="11"/>
  <c r="B227" i="11" s="1"/>
  <c r="V221" i="11"/>
  <c r="T221" i="11"/>
  <c r="T232" i="11" s="1"/>
  <c r="S221" i="11"/>
  <c r="S227" i="11" s="1"/>
  <c r="R221" i="11"/>
  <c r="R233" i="11" s="1"/>
  <c r="P221" i="11"/>
  <c r="P231" i="11" s="1"/>
  <c r="O221" i="11"/>
  <c r="O232" i="11" s="1"/>
  <c r="N221" i="11"/>
  <c r="N226" i="11" s="1"/>
  <c r="W221" i="11"/>
  <c r="W232" i="11" l="1"/>
  <c r="V230" i="11"/>
  <c r="X126" i="11"/>
  <c r="X61" i="11"/>
  <c r="X152" i="11"/>
  <c r="X48" i="11"/>
  <c r="V223" i="11"/>
  <c r="X75" i="11"/>
  <c r="N230" i="11"/>
  <c r="X224" i="11"/>
  <c r="X231" i="11"/>
  <c r="X113" i="11"/>
  <c r="V229" i="11"/>
  <c r="V232" i="11"/>
  <c r="V231" i="11"/>
  <c r="T226" i="11"/>
  <c r="T231" i="11"/>
  <c r="N231" i="11"/>
  <c r="X227" i="11"/>
  <c r="O231" i="11"/>
  <c r="X230" i="11"/>
  <c r="X147" i="11"/>
  <c r="X89" i="11"/>
  <c r="X223" i="11"/>
  <c r="X229" i="11"/>
  <c r="X228" i="11"/>
  <c r="X225" i="11"/>
  <c r="X233" i="11"/>
  <c r="O230" i="11"/>
  <c r="T233" i="11"/>
  <c r="N232" i="11"/>
  <c r="V226" i="11"/>
  <c r="S223" i="11"/>
  <c r="G231" i="11"/>
  <c r="R226" i="11"/>
  <c r="G227" i="11"/>
  <c r="V228" i="11"/>
  <c r="O223" i="11"/>
  <c r="F230" i="11"/>
  <c r="W231" i="11"/>
  <c r="B224" i="11"/>
  <c r="W227" i="11"/>
  <c r="R231" i="11"/>
  <c r="N233" i="11"/>
  <c r="E226" i="11"/>
  <c r="W230" i="11"/>
  <c r="V227" i="11"/>
  <c r="T227" i="11"/>
  <c r="N223" i="11"/>
  <c r="N227" i="11"/>
  <c r="O233" i="11"/>
  <c r="F226" i="11"/>
  <c r="W228" i="11"/>
  <c r="B228" i="11"/>
  <c r="S230" i="11"/>
  <c r="N228" i="11"/>
  <c r="E229" i="11"/>
  <c r="W224" i="11"/>
  <c r="V225" i="11"/>
  <c r="V233" i="11"/>
  <c r="S228" i="11"/>
  <c r="O224" i="11"/>
  <c r="N229" i="11"/>
  <c r="G228" i="11"/>
  <c r="F229" i="11"/>
  <c r="W233" i="11"/>
  <c r="N225" i="11"/>
  <c r="N224" i="11"/>
  <c r="G230" i="11"/>
  <c r="W226" i="11"/>
  <c r="V224" i="11"/>
  <c r="T224" i="11"/>
  <c r="S229" i="11"/>
  <c r="O229" i="11"/>
  <c r="F225" i="11"/>
  <c r="B233" i="11"/>
  <c r="C223" i="11"/>
  <c r="R227" i="11"/>
  <c r="P224" i="11"/>
  <c r="P229" i="11"/>
  <c r="C224" i="11"/>
  <c r="E227" i="11"/>
  <c r="S225" i="11"/>
  <c r="R230" i="11"/>
  <c r="F223" i="11"/>
  <c r="D224" i="11"/>
  <c r="C231" i="11"/>
  <c r="F227" i="11"/>
  <c r="D228" i="11"/>
  <c r="B232" i="11"/>
  <c r="E233" i="11"/>
  <c r="T230" i="11"/>
  <c r="S224" i="11"/>
  <c r="S233" i="11"/>
  <c r="R228" i="11"/>
  <c r="G223" i="11"/>
  <c r="G229" i="11"/>
  <c r="B225" i="11"/>
  <c r="E224" i="11"/>
  <c r="D231" i="11"/>
  <c r="B230" i="11"/>
  <c r="E228" i="11"/>
  <c r="C232" i="11"/>
  <c r="F233" i="11"/>
  <c r="W223" i="11"/>
  <c r="W229" i="11"/>
  <c r="T228" i="11"/>
  <c r="S226" i="11"/>
  <c r="R223" i="11"/>
  <c r="R229" i="11"/>
  <c r="O225" i="11"/>
  <c r="O226" i="11"/>
  <c r="O227" i="11"/>
  <c r="O228" i="11"/>
  <c r="G225" i="11"/>
  <c r="G232" i="11"/>
  <c r="C225" i="11"/>
  <c r="F224" i="11"/>
  <c r="E231" i="11"/>
  <c r="C230" i="11"/>
  <c r="F228" i="11"/>
  <c r="D232" i="11"/>
  <c r="W225" i="11"/>
  <c r="T223" i="11"/>
  <c r="T229" i="11"/>
  <c r="S231" i="11"/>
  <c r="R225" i="11"/>
  <c r="R232" i="11"/>
  <c r="P225" i="11"/>
  <c r="P226" i="11"/>
  <c r="P227" i="11"/>
  <c r="P228" i="11"/>
  <c r="P232" i="11"/>
  <c r="G224" i="11"/>
  <c r="G233" i="11"/>
  <c r="D225" i="11"/>
  <c r="B226" i="11"/>
  <c r="F231" i="11"/>
  <c r="D230" i="11"/>
  <c r="B229" i="11"/>
  <c r="E232" i="11"/>
  <c r="D223" i="11"/>
  <c r="D227" i="11"/>
  <c r="C233" i="11"/>
  <c r="P223" i="11"/>
  <c r="P230" i="11"/>
  <c r="P233" i="11"/>
  <c r="E223" i="11"/>
  <c r="C228" i="11"/>
  <c r="D233" i="11"/>
  <c r="S232" i="11"/>
  <c r="T225" i="11"/>
  <c r="R224" i="11"/>
  <c r="B223" i="11"/>
  <c r="E225" i="11"/>
  <c r="C226" i="11"/>
  <c r="C229" i="11"/>
  <c r="D226" i="11"/>
  <c r="W207" i="11"/>
  <c r="X134" i="11" l="1"/>
  <c r="X135" i="11"/>
  <c r="X67" i="11"/>
  <c r="X90" i="11"/>
  <c r="X133" i="11"/>
  <c r="X132" i="11"/>
  <c r="X131" i="11"/>
  <c r="X129" i="11"/>
  <c r="X130" i="11"/>
  <c r="X234" i="11"/>
  <c r="V234" i="11"/>
  <c r="P234" i="11"/>
  <c r="N234" i="11"/>
  <c r="S234" i="11"/>
  <c r="O234" i="11"/>
  <c r="R234" i="11"/>
  <c r="D234" i="11"/>
  <c r="C234" i="11"/>
  <c r="E234" i="11"/>
  <c r="G234" i="11"/>
  <c r="F234" i="11"/>
  <c r="T234" i="11"/>
  <c r="B234" i="11"/>
  <c r="W51" i="11"/>
  <c r="X69" i="11" l="1"/>
  <c r="X72" i="11" l="1"/>
  <c r="W58" i="11"/>
  <c r="X76" i="11" l="1"/>
  <c r="W112" i="11"/>
  <c r="W73" i="11"/>
  <c r="W117" i="11"/>
  <c r="W21" i="11"/>
  <c r="W181" i="11" l="1"/>
  <c r="W143" i="11" l="1"/>
  <c r="W249" i="11" l="1"/>
  <c r="W248" i="11"/>
  <c r="W265" i="11"/>
  <c r="W252" i="11"/>
  <c r="W251" i="11"/>
  <c r="W250" i="11"/>
  <c r="W240" i="11"/>
  <c r="W236" i="11"/>
  <c r="W209" i="11"/>
  <c r="W201" i="11"/>
  <c r="W196" i="11"/>
  <c r="W190" i="11"/>
  <c r="W187" i="11"/>
  <c r="W175" i="11"/>
  <c r="W154" i="11"/>
  <c r="W151" i="11"/>
  <c r="W142" i="11"/>
  <c r="W138" i="11"/>
  <c r="W148" i="11" s="1"/>
  <c r="W137" i="11"/>
  <c r="W116" i="11"/>
  <c r="W152" i="11"/>
  <c r="W101" i="11"/>
  <c r="W92" i="11"/>
  <c r="W62" i="11"/>
  <c r="W60" i="11"/>
  <c r="W53" i="11"/>
  <c r="W47" i="11"/>
  <c r="W45" i="11"/>
  <c r="W44" i="11"/>
  <c r="W42" i="11"/>
  <c r="W40" i="11"/>
  <c r="W33" i="11"/>
  <c r="W29" i="11"/>
  <c r="X153" i="11" l="1"/>
  <c r="W75" i="11"/>
  <c r="X155" i="11"/>
  <c r="W48" i="11"/>
  <c r="W182" i="11"/>
  <c r="W188" i="11"/>
  <c r="W145" i="11"/>
  <c r="W113" i="11"/>
  <c r="W61" i="11"/>
  <c r="W89" i="11"/>
  <c r="G52" i="11"/>
  <c r="V73" i="11"/>
  <c r="X146" i="11" l="1"/>
  <c r="X173" i="11"/>
  <c r="X156" i="11"/>
  <c r="X159" i="11"/>
  <c r="X157" i="11"/>
  <c r="X168" i="11"/>
  <c r="X170" i="11"/>
  <c r="X167" i="11"/>
  <c r="X165" i="11"/>
  <c r="X158" i="11"/>
  <c r="X163" i="11"/>
  <c r="X160" i="11"/>
  <c r="X164" i="11"/>
  <c r="X172" i="11"/>
  <c r="W147" i="11"/>
  <c r="W67" i="11"/>
  <c r="W90" i="11"/>
  <c r="W234" i="11"/>
  <c r="V112" i="11"/>
  <c r="X161" i="11" l="1"/>
  <c r="W69" i="11"/>
  <c r="X166" i="11"/>
  <c r="X169" i="11" s="1"/>
  <c r="X171" i="11" s="1"/>
  <c r="X149" i="11"/>
  <c r="X162" i="11"/>
  <c r="V154" i="11"/>
  <c r="W72" i="11" l="1"/>
  <c r="W155" i="11"/>
  <c r="V265" i="11"/>
  <c r="V252" i="11"/>
  <c r="V251" i="11"/>
  <c r="V250" i="11"/>
  <c r="V249" i="11"/>
  <c r="V248" i="11"/>
  <c r="V240" i="11"/>
  <c r="V236" i="11"/>
  <c r="V209" i="11"/>
  <c r="V207" i="11"/>
  <c r="V201" i="11"/>
  <c r="V196" i="11"/>
  <c r="V190" i="11"/>
  <c r="V187" i="11"/>
  <c r="V181" i="11"/>
  <c r="V175" i="11"/>
  <c r="V151" i="11"/>
  <c r="V142" i="11"/>
  <c r="V138" i="11"/>
  <c r="V148" i="11" s="1"/>
  <c r="V137" i="11"/>
  <c r="V116" i="11"/>
  <c r="V101" i="11"/>
  <c r="V92" i="11"/>
  <c r="V75" i="11"/>
  <c r="V62" i="11"/>
  <c r="V60" i="11"/>
  <c r="V53" i="11"/>
  <c r="V51" i="11"/>
  <c r="V47" i="11"/>
  <c r="V45" i="11"/>
  <c r="V44" i="11"/>
  <c r="V42" i="11"/>
  <c r="V40" i="11"/>
  <c r="V33" i="11"/>
  <c r="V29" i="11"/>
  <c r="V21" i="11"/>
  <c r="V7" i="11"/>
  <c r="S70" i="11"/>
  <c r="W76" i="11" l="1"/>
  <c r="V182" i="11"/>
  <c r="V188" i="11"/>
  <c r="V57" i="11"/>
  <c r="V48" i="11"/>
  <c r="V113" i="11"/>
  <c r="V152" i="11"/>
  <c r="V117" i="11"/>
  <c r="B79" i="11"/>
  <c r="W173" i="11" l="1"/>
  <c r="V58" i="11"/>
  <c r="W153" i="11"/>
  <c r="V145" i="11"/>
  <c r="V126" i="11"/>
  <c r="P252" i="11"/>
  <c r="O252" i="11"/>
  <c r="P251" i="11"/>
  <c r="O251" i="11"/>
  <c r="P250" i="11"/>
  <c r="O250" i="11"/>
  <c r="P249" i="11"/>
  <c r="O249" i="11"/>
  <c r="V135" i="11" l="1"/>
  <c r="V134" i="11"/>
  <c r="V61" i="11"/>
  <c r="W165" i="11"/>
  <c r="V89" i="11"/>
  <c r="W167" i="11"/>
  <c r="W164" i="11"/>
  <c r="W168" i="11"/>
  <c r="W163" i="11"/>
  <c r="W170" i="11"/>
  <c r="W160" i="11"/>
  <c r="W158" i="11"/>
  <c r="W172" i="11"/>
  <c r="W159" i="11"/>
  <c r="W156" i="11"/>
  <c r="W146" i="11"/>
  <c r="W157" i="11"/>
  <c r="V147" i="11"/>
  <c r="V133" i="11"/>
  <c r="V131" i="11"/>
  <c r="V129" i="11"/>
  <c r="V130" i="11"/>
  <c r="V132" i="11"/>
  <c r="N252" i="11"/>
  <c r="N251" i="11"/>
  <c r="N250" i="11"/>
  <c r="N249" i="11"/>
  <c r="P248" i="11"/>
  <c r="O248" i="11"/>
  <c r="N248" i="11"/>
  <c r="V90" i="11" l="1"/>
  <c r="V67" i="11"/>
  <c r="V69" i="11" s="1"/>
  <c r="W166" i="11"/>
  <c r="W169" i="11" s="1"/>
  <c r="W171" i="11" s="1"/>
  <c r="W162" i="11"/>
  <c r="W161" i="11"/>
  <c r="W149" i="11"/>
  <c r="T252" i="11"/>
  <c r="S252" i="11"/>
  <c r="U252" i="11"/>
  <c r="U250" i="11"/>
  <c r="T250" i="11"/>
  <c r="S250" i="11"/>
  <c r="V72" i="11" l="1"/>
  <c r="G68" i="11"/>
  <c r="U50" i="11"/>
  <c r="V76" i="11" l="1"/>
  <c r="S251" i="11"/>
  <c r="T251" i="11"/>
  <c r="U251" i="11"/>
  <c r="S249" i="11"/>
  <c r="T249" i="11"/>
  <c r="U249" i="11"/>
  <c r="U248" i="11"/>
  <c r="T248" i="11"/>
  <c r="S248" i="11"/>
  <c r="R248" i="11"/>
  <c r="Q247" i="11"/>
  <c r="Q246" i="11"/>
  <c r="Q248" i="11" l="1"/>
  <c r="Q250" i="11"/>
  <c r="R250" i="11"/>
  <c r="R251" i="11"/>
  <c r="Q252" i="11"/>
  <c r="R252" i="11"/>
  <c r="Q249" i="11"/>
  <c r="R249" i="11"/>
  <c r="Q251" i="11"/>
  <c r="D250" i="11"/>
  <c r="E250" i="11"/>
  <c r="F250" i="11"/>
  <c r="C250" i="11"/>
  <c r="D249" i="11"/>
  <c r="E249" i="11"/>
  <c r="F249" i="11"/>
  <c r="C249" i="11"/>
  <c r="D251" i="11"/>
  <c r="E251" i="11"/>
  <c r="F251" i="11"/>
  <c r="C251" i="11"/>
  <c r="D252" i="11"/>
  <c r="E252" i="11"/>
  <c r="F252" i="11"/>
  <c r="C252" i="11"/>
  <c r="Q56" i="11" l="1"/>
  <c r="U56" i="11"/>
  <c r="U243" i="11"/>
  <c r="U242" i="11"/>
  <c r="U238" i="11"/>
  <c r="U239" i="11"/>
  <c r="U237" i="11"/>
  <c r="U212" i="11"/>
  <c r="U211" i="11"/>
  <c r="U214" i="11"/>
  <c r="U217" i="11"/>
  <c r="U213" i="11"/>
  <c r="U215" i="11"/>
  <c r="U216" i="11"/>
  <c r="U220" i="11"/>
  <c r="U219" i="11"/>
  <c r="U218" i="11"/>
  <c r="U210" i="11"/>
  <c r="G207" i="11"/>
  <c r="U203" i="11"/>
  <c r="U204" i="11"/>
  <c r="U205" i="11"/>
  <c r="U206" i="11"/>
  <c r="U202" i="11"/>
  <c r="U198" i="11"/>
  <c r="U199" i="11"/>
  <c r="U197" i="11"/>
  <c r="U192" i="11"/>
  <c r="U193" i="11"/>
  <c r="U194" i="11"/>
  <c r="U191" i="11"/>
  <c r="U186" i="11"/>
  <c r="U185" i="11"/>
  <c r="U178" i="11"/>
  <c r="U179" i="11"/>
  <c r="U180" i="11"/>
  <c r="U177" i="11"/>
  <c r="U140" i="11"/>
  <c r="U139" i="11"/>
  <c r="U119" i="11"/>
  <c r="U120" i="11"/>
  <c r="U121" i="11"/>
  <c r="U122" i="11"/>
  <c r="U118" i="11"/>
  <c r="U105" i="11"/>
  <c r="U106" i="11"/>
  <c r="U108" i="11"/>
  <c r="U109" i="11"/>
  <c r="U111" i="11"/>
  <c r="U104" i="11"/>
  <c r="U95" i="11"/>
  <c r="U96" i="11"/>
  <c r="U97" i="11"/>
  <c r="U98" i="11"/>
  <c r="U94" i="11"/>
  <c r="G73" i="11"/>
  <c r="G41" i="11"/>
  <c r="G39" i="11"/>
  <c r="G38" i="11"/>
  <c r="G32" i="11"/>
  <c r="G30" i="11"/>
  <c r="U73" i="11" l="1"/>
  <c r="U221" i="11"/>
  <c r="G16" i="11"/>
  <c r="G15" i="11"/>
  <c r="G10" i="11"/>
  <c r="G3" i="11"/>
  <c r="G36" i="11" l="1"/>
  <c r="U228" i="11"/>
  <c r="U223" i="11"/>
  <c r="U232" i="11"/>
  <c r="U225" i="11"/>
  <c r="U233" i="11"/>
  <c r="U226" i="11"/>
  <c r="U230" i="11"/>
  <c r="U229" i="11"/>
  <c r="U224" i="11"/>
  <c r="U231" i="11"/>
  <c r="U227" i="11"/>
  <c r="G251" i="11"/>
  <c r="G249" i="11"/>
  <c r="G252" i="11"/>
  <c r="G250" i="11"/>
  <c r="U207" i="11"/>
  <c r="T155" i="11"/>
  <c r="T240" i="11"/>
  <c r="T236" i="11"/>
  <c r="T209" i="11"/>
  <c r="T207" i="11"/>
  <c r="T201" i="11"/>
  <c r="T196" i="11"/>
  <c r="T190" i="11"/>
  <c r="T187" i="11"/>
  <c r="T181" i="11"/>
  <c r="T175" i="11"/>
  <c r="T151" i="11"/>
  <c r="T143" i="11"/>
  <c r="T142" i="11"/>
  <c r="T138" i="11"/>
  <c r="T148" i="11" s="1"/>
  <c r="T137" i="11"/>
  <c r="T117" i="11"/>
  <c r="T116" i="11"/>
  <c r="T112" i="11"/>
  <c r="T101" i="11"/>
  <c r="T92" i="11"/>
  <c r="T83" i="11"/>
  <c r="T86" i="11" s="1"/>
  <c r="T73" i="11"/>
  <c r="T62" i="11"/>
  <c r="T60" i="11"/>
  <c r="T53" i="11"/>
  <c r="T51" i="11"/>
  <c r="T47" i="11"/>
  <c r="T45" i="11"/>
  <c r="T44" i="11"/>
  <c r="T42" i="11"/>
  <c r="T40" i="11"/>
  <c r="T33" i="11"/>
  <c r="T29" i="11"/>
  <c r="T21" i="11"/>
  <c r="T7" i="11"/>
  <c r="G62" i="11"/>
  <c r="G263" i="11"/>
  <c r="G254" i="11"/>
  <c r="G248" i="11"/>
  <c r="G245" i="11"/>
  <c r="G240" i="11"/>
  <c r="G236" i="11"/>
  <c r="G209" i="11"/>
  <c r="G201" i="11"/>
  <c r="G196" i="11"/>
  <c r="G190" i="11"/>
  <c r="G187" i="11"/>
  <c r="G188" i="11" s="1"/>
  <c r="G181" i="11"/>
  <c r="G176" i="11"/>
  <c r="G175" i="11"/>
  <c r="G154" i="11"/>
  <c r="G151" i="11"/>
  <c r="G142" i="11"/>
  <c r="G138" i="11"/>
  <c r="G148" i="11" s="1"/>
  <c r="G137" i="11"/>
  <c r="G117" i="11"/>
  <c r="G116" i="11"/>
  <c r="G112" i="11"/>
  <c r="G101" i="11"/>
  <c r="G152" i="11" s="1"/>
  <c r="G92" i="11"/>
  <c r="G57" i="11"/>
  <c r="G60" i="11"/>
  <c r="G53" i="11"/>
  <c r="G47" i="11"/>
  <c r="G45" i="11"/>
  <c r="G44" i="11"/>
  <c r="G42" i="11"/>
  <c r="G40" i="11"/>
  <c r="G33" i="11"/>
  <c r="G29" i="11"/>
  <c r="G21" i="11"/>
  <c r="G7" i="11"/>
  <c r="G145" i="11" l="1"/>
  <c r="G147" i="11" s="1"/>
  <c r="G58" i="11"/>
  <c r="G89" i="11" s="1"/>
  <c r="U154" i="11"/>
  <c r="T75" i="11"/>
  <c r="T57" i="11"/>
  <c r="T152" i="11"/>
  <c r="U234" i="11"/>
  <c r="T145" i="11"/>
  <c r="T182" i="11"/>
  <c r="T188" i="11"/>
  <c r="T48" i="11"/>
  <c r="G182" i="11"/>
  <c r="T113" i="11"/>
  <c r="T126" i="11"/>
  <c r="G75" i="11"/>
  <c r="G113" i="11"/>
  <c r="G48" i="11"/>
  <c r="G126" i="11"/>
  <c r="T135" i="11" l="1"/>
  <c r="T134" i="11"/>
  <c r="G134" i="11"/>
  <c r="G135" i="11"/>
  <c r="U155" i="11"/>
  <c r="G61" i="11"/>
  <c r="V155" i="11"/>
  <c r="V173" i="11" s="1"/>
  <c r="H146" i="11"/>
  <c r="J146" i="11" s="1"/>
  <c r="T147" i="11"/>
  <c r="T58" i="11"/>
  <c r="T153" i="11"/>
  <c r="T132" i="11"/>
  <c r="T131" i="11"/>
  <c r="T129" i="11"/>
  <c r="T133" i="11"/>
  <c r="T130" i="11"/>
  <c r="G133" i="11"/>
  <c r="G132" i="11"/>
  <c r="G131" i="11"/>
  <c r="G130" i="11"/>
  <c r="G129" i="11"/>
  <c r="S155" i="11"/>
  <c r="R155" i="11"/>
  <c r="Q155" i="11"/>
  <c r="P155" i="11"/>
  <c r="O155" i="11"/>
  <c r="P153" i="11"/>
  <c r="Q153" i="11"/>
  <c r="R153" i="11"/>
  <c r="S153" i="11"/>
  <c r="O153" i="11"/>
  <c r="P73" i="11"/>
  <c r="P83" i="11"/>
  <c r="P86" i="11" s="1"/>
  <c r="G90" i="11" l="1"/>
  <c r="G67" i="11"/>
  <c r="T159" i="11"/>
  <c r="T61" i="11"/>
  <c r="T67" i="11" s="1"/>
  <c r="T167" i="11"/>
  <c r="T158" i="11"/>
  <c r="T170" i="11"/>
  <c r="T165" i="11"/>
  <c r="T157" i="11"/>
  <c r="T163" i="11"/>
  <c r="T156" i="11"/>
  <c r="T160" i="11"/>
  <c r="T168" i="11"/>
  <c r="T89" i="11"/>
  <c r="U75" i="11"/>
  <c r="P190" i="11"/>
  <c r="S168" i="11"/>
  <c r="G69" i="11" l="1"/>
  <c r="T162" i="11"/>
  <c r="T90" i="11"/>
  <c r="T161" i="11"/>
  <c r="T164" i="11"/>
  <c r="T166" i="11" s="1"/>
  <c r="T169" i="11" s="1"/>
  <c r="T171" i="11" s="1"/>
  <c r="T69" i="11"/>
  <c r="F254" i="11"/>
  <c r="E254" i="11"/>
  <c r="D254" i="11"/>
  <c r="C254" i="11"/>
  <c r="B254" i="11"/>
  <c r="F245" i="11"/>
  <c r="E245" i="11"/>
  <c r="D245" i="11"/>
  <c r="C245" i="11"/>
  <c r="B245" i="11"/>
  <c r="AE236" i="11"/>
  <c r="AD236" i="11"/>
  <c r="U236" i="11"/>
  <c r="S236" i="11"/>
  <c r="R236" i="11"/>
  <c r="Q236" i="11"/>
  <c r="P236" i="11"/>
  <c r="O236" i="11"/>
  <c r="N236" i="11"/>
  <c r="F236" i="11"/>
  <c r="E236" i="11"/>
  <c r="D236" i="11"/>
  <c r="C236" i="11"/>
  <c r="B236" i="11"/>
  <c r="AE209" i="11"/>
  <c r="AD209" i="11"/>
  <c r="U209" i="11"/>
  <c r="S209" i="11"/>
  <c r="R209" i="11"/>
  <c r="Q209" i="11"/>
  <c r="P209" i="11"/>
  <c r="O209" i="11"/>
  <c r="N209" i="11"/>
  <c r="F209" i="11"/>
  <c r="E209" i="11"/>
  <c r="D209" i="11"/>
  <c r="C209" i="11"/>
  <c r="B209" i="11"/>
  <c r="U201" i="11"/>
  <c r="S201" i="11"/>
  <c r="R201" i="11"/>
  <c r="Q201" i="11"/>
  <c r="P201" i="11"/>
  <c r="O201" i="11"/>
  <c r="N201" i="11"/>
  <c r="F201" i="11"/>
  <c r="E201" i="11"/>
  <c r="D201" i="11"/>
  <c r="C201" i="11"/>
  <c r="B201" i="11"/>
  <c r="U196" i="11"/>
  <c r="S196" i="11"/>
  <c r="R196" i="11"/>
  <c r="Q196" i="11"/>
  <c r="P196" i="11"/>
  <c r="O196" i="11"/>
  <c r="N196" i="11"/>
  <c r="F196" i="11"/>
  <c r="E196" i="11"/>
  <c r="D196" i="11"/>
  <c r="C196" i="11"/>
  <c r="B196" i="11"/>
  <c r="AE175" i="11"/>
  <c r="AD175" i="11"/>
  <c r="U175" i="11"/>
  <c r="S175" i="11"/>
  <c r="R175" i="11"/>
  <c r="Q175" i="11"/>
  <c r="P175" i="11"/>
  <c r="O175" i="11"/>
  <c r="N175" i="11"/>
  <c r="F175" i="11"/>
  <c r="E175" i="11"/>
  <c r="D175" i="11"/>
  <c r="C175" i="11"/>
  <c r="B175" i="11"/>
  <c r="AE151" i="11"/>
  <c r="AD151" i="11"/>
  <c r="U151" i="11"/>
  <c r="S151" i="11"/>
  <c r="R151" i="11"/>
  <c r="Q151" i="11"/>
  <c r="P151" i="11"/>
  <c r="O151" i="11"/>
  <c r="N151" i="11"/>
  <c r="F151" i="11"/>
  <c r="E151" i="11"/>
  <c r="D151" i="11"/>
  <c r="C151" i="11"/>
  <c r="B151" i="11"/>
  <c r="AE142" i="11"/>
  <c r="AD142" i="11"/>
  <c r="U142" i="11"/>
  <c r="S142" i="11"/>
  <c r="R142" i="11"/>
  <c r="Q142" i="11"/>
  <c r="P142" i="11"/>
  <c r="O142" i="11"/>
  <c r="N142" i="11"/>
  <c r="J142" i="11"/>
  <c r="F142" i="11"/>
  <c r="E142" i="11"/>
  <c r="D142" i="11"/>
  <c r="C142" i="11"/>
  <c r="B142" i="11"/>
  <c r="U137" i="11"/>
  <c r="S137" i="11"/>
  <c r="R137" i="11"/>
  <c r="Q137" i="11"/>
  <c r="P137" i="11"/>
  <c r="O137" i="11"/>
  <c r="N137" i="11"/>
  <c r="J137" i="11"/>
  <c r="F137" i="11"/>
  <c r="E137" i="11"/>
  <c r="D137" i="11"/>
  <c r="C137" i="11"/>
  <c r="B137" i="11"/>
  <c r="AE116" i="11"/>
  <c r="AD116" i="11"/>
  <c r="U116" i="11"/>
  <c r="S116" i="11"/>
  <c r="R116" i="11"/>
  <c r="Q116" i="11"/>
  <c r="P116" i="11"/>
  <c r="O116" i="11"/>
  <c r="N116" i="11"/>
  <c r="J116" i="11"/>
  <c r="F116" i="11"/>
  <c r="E116" i="11"/>
  <c r="D116" i="11"/>
  <c r="C116" i="11"/>
  <c r="B116" i="11"/>
  <c r="F92" i="11"/>
  <c r="E92" i="11"/>
  <c r="D92" i="11"/>
  <c r="C92" i="11"/>
  <c r="B92" i="11"/>
  <c r="J92" i="11"/>
  <c r="R92" i="11"/>
  <c r="Q92" i="11"/>
  <c r="P92" i="11"/>
  <c r="O92" i="11"/>
  <c r="N92" i="11"/>
  <c r="U92" i="11"/>
  <c r="AD92" i="11"/>
  <c r="AE92" i="11"/>
  <c r="S92" i="11"/>
  <c r="AE53" i="11"/>
  <c r="AD53" i="11"/>
  <c r="U53" i="11"/>
  <c r="S53" i="11"/>
  <c r="AE29" i="11"/>
  <c r="AD29" i="11"/>
  <c r="G72" i="11" l="1"/>
  <c r="T72" i="11"/>
  <c r="J53" i="11"/>
  <c r="P62" i="11"/>
  <c r="P7" i="11"/>
  <c r="P21" i="11"/>
  <c r="P117" i="11"/>
  <c r="P145" i="11" s="1"/>
  <c r="P138" i="11"/>
  <c r="P148" i="11" s="1"/>
  <c r="P143" i="11"/>
  <c r="P53" i="11"/>
  <c r="P60" i="11"/>
  <c r="P75" i="11"/>
  <c r="P57" i="11"/>
  <c r="P58" i="11" s="1"/>
  <c r="P29" i="11"/>
  <c r="P33" i="11"/>
  <c r="P40" i="11"/>
  <c r="P42" i="11"/>
  <c r="P44" i="11"/>
  <c r="P45" i="11"/>
  <c r="P47" i="11"/>
  <c r="P51" i="11"/>
  <c r="P52" i="11" s="1"/>
  <c r="P156" i="11"/>
  <c r="P207" i="11"/>
  <c r="P181" i="11"/>
  <c r="P182" i="11" s="1"/>
  <c r="P187" i="11"/>
  <c r="P188" i="11" s="1"/>
  <c r="P240" i="11"/>
  <c r="P101" i="11"/>
  <c r="P112" i="11"/>
  <c r="U7" i="11"/>
  <c r="U21" i="11"/>
  <c r="U117" i="11"/>
  <c r="U138" i="11"/>
  <c r="U148" i="11" s="1"/>
  <c r="U29" i="11"/>
  <c r="U33" i="11"/>
  <c r="U40" i="11"/>
  <c r="U42" i="11"/>
  <c r="U44" i="11"/>
  <c r="U45" i="11"/>
  <c r="U47" i="11"/>
  <c r="U190" i="11"/>
  <c r="U181" i="11"/>
  <c r="U187" i="11"/>
  <c r="U240" i="11"/>
  <c r="U101" i="11"/>
  <c r="U112" i="11"/>
  <c r="E7" i="11"/>
  <c r="E20" i="11"/>
  <c r="E117" i="11"/>
  <c r="E145" i="11" s="1"/>
  <c r="E138" i="11"/>
  <c r="E148" i="11" s="1"/>
  <c r="E53" i="11"/>
  <c r="E58" i="11"/>
  <c r="E61" i="11" s="1"/>
  <c r="E60" i="11"/>
  <c r="E62" i="11"/>
  <c r="E29" i="11"/>
  <c r="E33" i="11"/>
  <c r="E40" i="11"/>
  <c r="E42" i="11"/>
  <c r="E44" i="11"/>
  <c r="E45" i="11"/>
  <c r="E47" i="11"/>
  <c r="E51" i="11"/>
  <c r="E52" i="11" s="1"/>
  <c r="E154" i="11"/>
  <c r="E190" i="11"/>
  <c r="E207" i="11"/>
  <c r="E176" i="11"/>
  <c r="E181" i="11"/>
  <c r="E182" i="11" s="1"/>
  <c r="E187" i="11"/>
  <c r="E188" i="11" s="1"/>
  <c r="E240" i="11"/>
  <c r="E101" i="11"/>
  <c r="E152" i="11" s="1"/>
  <c r="E112" i="11"/>
  <c r="E248" i="11"/>
  <c r="E263" i="11"/>
  <c r="E21" i="11" l="1"/>
  <c r="E25" i="11"/>
  <c r="E26" i="11"/>
  <c r="G76" i="11"/>
  <c r="T76" i="11"/>
  <c r="U152" i="11"/>
  <c r="E75" i="11"/>
  <c r="E67" i="11"/>
  <c r="U182" i="11"/>
  <c r="U188" i="11"/>
  <c r="U145" i="11"/>
  <c r="E113" i="11"/>
  <c r="U113" i="11"/>
  <c r="U126" i="11"/>
  <c r="U48" i="11"/>
  <c r="E147" i="11"/>
  <c r="P113" i="11"/>
  <c r="P126" i="11"/>
  <c r="P147" i="11"/>
  <c r="P158" i="11"/>
  <c r="P48" i="11"/>
  <c r="P160" i="11"/>
  <c r="P161" i="11" s="1"/>
  <c r="P165" i="11"/>
  <c r="P163" i="11"/>
  <c r="P89" i="11"/>
  <c r="P61" i="11"/>
  <c r="P159" i="11"/>
  <c r="P168" i="11"/>
  <c r="P170" i="11"/>
  <c r="P167" i="11"/>
  <c r="P157" i="11"/>
  <c r="E48" i="11"/>
  <c r="E90" i="11"/>
  <c r="E126" i="11"/>
  <c r="E89" i="11"/>
  <c r="P132" i="11" l="1"/>
  <c r="P135" i="11"/>
  <c r="P134" i="11"/>
  <c r="U134" i="11"/>
  <c r="U135" i="11"/>
  <c r="E135" i="11"/>
  <c r="E134" i="11"/>
  <c r="V146" i="11"/>
  <c r="V153" i="11"/>
  <c r="U147" i="11"/>
  <c r="U146" i="11"/>
  <c r="U153" i="11"/>
  <c r="E69" i="11"/>
  <c r="E72" i="11" s="1"/>
  <c r="P67" i="11"/>
  <c r="U131" i="11"/>
  <c r="U133" i="11"/>
  <c r="U130" i="11"/>
  <c r="U129" i="11"/>
  <c r="U132" i="11"/>
  <c r="P131" i="11"/>
  <c r="P133" i="11"/>
  <c r="P129" i="11"/>
  <c r="P130" i="11"/>
  <c r="E129" i="11"/>
  <c r="E131" i="11"/>
  <c r="E133" i="11"/>
  <c r="E130" i="11"/>
  <c r="E132" i="11"/>
  <c r="P162" i="11"/>
  <c r="P90" i="11"/>
  <c r="V149" i="11" l="1"/>
  <c r="V157" i="11"/>
  <c r="V156" i="11"/>
  <c r="V158" i="11"/>
  <c r="V160" i="11"/>
  <c r="V159" i="11"/>
  <c r="V165" i="11"/>
  <c r="V170" i="11"/>
  <c r="V167" i="11"/>
  <c r="V168" i="11"/>
  <c r="V163" i="11"/>
  <c r="V164" i="11"/>
  <c r="V172" i="11"/>
  <c r="U170" i="11"/>
  <c r="U156" i="11"/>
  <c r="U168" i="11"/>
  <c r="U157" i="11"/>
  <c r="P69" i="11"/>
  <c r="P72" i="11" s="1"/>
  <c r="P164" i="11"/>
  <c r="P166" i="11" s="1"/>
  <c r="P169" i="11" s="1"/>
  <c r="P171" i="11" s="1"/>
  <c r="V161" i="11" l="1"/>
  <c r="V162" i="11"/>
  <c r="V166" i="11"/>
  <c r="V169" i="11" s="1"/>
  <c r="V171" i="11" s="1"/>
  <c r="U167" i="11" l="1"/>
  <c r="R138" i="11"/>
  <c r="Q168" i="11" l="1"/>
  <c r="B168" i="11"/>
  <c r="Q57" i="11"/>
  <c r="N57" i="11"/>
  <c r="O82" i="11"/>
  <c r="S82" i="11"/>
  <c r="S85" i="11"/>
  <c r="O83" i="11"/>
  <c r="S83" i="11"/>
  <c r="O86" i="11" l="1"/>
  <c r="O57" i="11" s="1"/>
  <c r="S86" i="11"/>
  <c r="U83" i="11"/>
  <c r="U85" i="11"/>
  <c r="R57" i="11"/>
  <c r="F57" i="11"/>
  <c r="O168" i="11"/>
  <c r="R168" i="11"/>
  <c r="O70" i="11"/>
  <c r="Q70" i="11" s="1"/>
  <c r="O68" i="11"/>
  <c r="Q68" i="11" s="1"/>
  <c r="S68" i="11"/>
  <c r="O59" i="11"/>
  <c r="S59" i="11"/>
  <c r="O65" i="11"/>
  <c r="Q65" i="11" s="1"/>
  <c r="O63" i="11"/>
  <c r="Q63" i="11" s="1"/>
  <c r="S65" i="11"/>
  <c r="S63" i="11"/>
  <c r="O73" i="11"/>
  <c r="U86" i="11" l="1"/>
  <c r="S57" i="11"/>
  <c r="U59" i="11"/>
  <c r="U63" i="11"/>
  <c r="U65" i="11"/>
  <c r="U165" i="11"/>
  <c r="S73" i="11"/>
  <c r="U160" i="11" l="1"/>
  <c r="U161" i="11" s="1"/>
  <c r="U60" i="11"/>
  <c r="U57" i="11"/>
  <c r="U62" i="11"/>
  <c r="Q203" i="11"/>
  <c r="Q204" i="11"/>
  <c r="Q205" i="11"/>
  <c r="Q206" i="11"/>
  <c r="F207" i="11"/>
  <c r="D207" i="11"/>
  <c r="N207" i="11"/>
  <c r="O207" i="11"/>
  <c r="R207" i="11"/>
  <c r="S207" i="11"/>
  <c r="B207" i="11"/>
  <c r="C207" i="11"/>
  <c r="U158" i="11" l="1"/>
  <c r="U58" i="11"/>
  <c r="U163" i="11"/>
  <c r="O47" i="11"/>
  <c r="S138" i="11"/>
  <c r="S148" i="11" s="1"/>
  <c r="O53" i="11"/>
  <c r="O112" i="11"/>
  <c r="O101" i="11"/>
  <c r="O240" i="11"/>
  <c r="O187" i="11"/>
  <c r="O188" i="11" s="1"/>
  <c r="O181" i="11"/>
  <c r="O182" i="11" s="1"/>
  <c r="O170" i="11"/>
  <c r="O167" i="11"/>
  <c r="O165" i="11"/>
  <c r="O160" i="11"/>
  <c r="O158" i="11"/>
  <c r="O157" i="11"/>
  <c r="O156" i="11"/>
  <c r="O51" i="11"/>
  <c r="O52" i="11" s="1"/>
  <c r="O45" i="11"/>
  <c r="O40" i="11"/>
  <c r="O29" i="11"/>
  <c r="O75" i="11"/>
  <c r="O62" i="11"/>
  <c r="O60" i="11"/>
  <c r="O58" i="11"/>
  <c r="O61" i="11" s="1"/>
  <c r="O143" i="11"/>
  <c r="O138" i="11"/>
  <c r="O148" i="11" s="1"/>
  <c r="O117" i="11"/>
  <c r="O21" i="11"/>
  <c r="O7" i="11"/>
  <c r="S112" i="11"/>
  <c r="S101" i="11"/>
  <c r="S240" i="11"/>
  <c r="S187" i="11"/>
  <c r="S181" i="11"/>
  <c r="S190" i="11"/>
  <c r="S170" i="11"/>
  <c r="S167" i="11"/>
  <c r="S165" i="11"/>
  <c r="S160" i="11"/>
  <c r="S158" i="11"/>
  <c r="S157" i="11"/>
  <c r="S156" i="11"/>
  <c r="S51" i="11"/>
  <c r="S52" i="11" s="1"/>
  <c r="S47" i="11"/>
  <c r="S45" i="11"/>
  <c r="S44" i="11"/>
  <c r="S42" i="11"/>
  <c r="S40" i="11"/>
  <c r="S33" i="11"/>
  <c r="S29" i="11"/>
  <c r="S75" i="11"/>
  <c r="S62" i="11"/>
  <c r="S60" i="11"/>
  <c r="S58" i="11"/>
  <c r="S143" i="11"/>
  <c r="S117" i="11"/>
  <c r="S21" i="11"/>
  <c r="S7" i="11"/>
  <c r="O67" i="11" l="1"/>
  <c r="O69" i="11" s="1"/>
  <c r="O72" i="11" s="1"/>
  <c r="U61" i="11"/>
  <c r="U159" i="11"/>
  <c r="U162" i="11" s="1"/>
  <c r="U89" i="11"/>
  <c r="S188" i="11"/>
  <c r="S182" i="11"/>
  <c r="S163" i="11"/>
  <c r="S61" i="11"/>
  <c r="O163" i="11"/>
  <c r="S126" i="11"/>
  <c r="O113" i="11"/>
  <c r="O42" i="11"/>
  <c r="O48" i="11" s="1"/>
  <c r="O44" i="11"/>
  <c r="O33" i="11"/>
  <c r="S113" i="11"/>
  <c r="O159" i="11"/>
  <c r="O162" i="11" s="1"/>
  <c r="O126" i="11"/>
  <c r="O161" i="11"/>
  <c r="O145" i="11"/>
  <c r="P146" i="11" s="1"/>
  <c r="P149" i="11" s="1"/>
  <c r="O89" i="11"/>
  <c r="O90" i="11"/>
  <c r="S159" i="11"/>
  <c r="S162" i="11" s="1"/>
  <c r="S145" i="11"/>
  <c r="S161" i="11"/>
  <c r="S48" i="11"/>
  <c r="S89" i="11"/>
  <c r="R165" i="11"/>
  <c r="Q167" i="11"/>
  <c r="R167" i="11"/>
  <c r="Q165" i="11"/>
  <c r="Q157" i="11"/>
  <c r="Q158" i="11"/>
  <c r="Q160" i="11"/>
  <c r="Q156" i="11"/>
  <c r="R157" i="11"/>
  <c r="R158" i="11"/>
  <c r="R160" i="11"/>
  <c r="R156" i="11"/>
  <c r="Q170" i="11"/>
  <c r="R170" i="11"/>
  <c r="D263" i="11"/>
  <c r="F263" i="11"/>
  <c r="B248" i="11"/>
  <c r="C248" i="11"/>
  <c r="D248" i="11"/>
  <c r="F248" i="11"/>
  <c r="N112" i="11"/>
  <c r="R112" i="11"/>
  <c r="C112" i="11"/>
  <c r="D112" i="11"/>
  <c r="F112" i="11"/>
  <c r="Q111" i="11"/>
  <c r="Q110" i="11"/>
  <c r="B110" i="11"/>
  <c r="Q109" i="11"/>
  <c r="Q108" i="11"/>
  <c r="Q107" i="11"/>
  <c r="Q106" i="11"/>
  <c r="Q105" i="11"/>
  <c r="Q104" i="11"/>
  <c r="B104" i="11"/>
  <c r="N101" i="11"/>
  <c r="R101" i="11"/>
  <c r="C101" i="11"/>
  <c r="C152" i="11" s="1"/>
  <c r="D101" i="11"/>
  <c r="D152" i="11" s="1"/>
  <c r="E153" i="11" s="1"/>
  <c r="N153" i="11"/>
  <c r="N168" i="11" s="1"/>
  <c r="F101" i="11"/>
  <c r="F152" i="11" s="1"/>
  <c r="Q100" i="11"/>
  <c r="Q98" i="11"/>
  <c r="Q97" i="11"/>
  <c r="Q96" i="11"/>
  <c r="Q95" i="11"/>
  <c r="Q94" i="11"/>
  <c r="B94" i="11"/>
  <c r="Q243" i="11"/>
  <c r="Q242" i="11"/>
  <c r="N240" i="11"/>
  <c r="R240" i="11"/>
  <c r="B240" i="11"/>
  <c r="C240" i="11"/>
  <c r="D240" i="11"/>
  <c r="F240" i="11"/>
  <c r="Q239" i="11"/>
  <c r="Q238" i="11"/>
  <c r="Q237" i="11"/>
  <c r="Q218" i="11"/>
  <c r="Q219" i="11"/>
  <c r="Q220" i="11"/>
  <c r="Q216" i="11"/>
  <c r="Q215" i="11"/>
  <c r="Q213" i="11"/>
  <c r="Q217" i="11"/>
  <c r="Q214" i="11"/>
  <c r="Q211" i="11"/>
  <c r="Q212" i="11"/>
  <c r="Q210" i="11"/>
  <c r="N187" i="11"/>
  <c r="N188" i="11" s="1"/>
  <c r="R187" i="11"/>
  <c r="B187" i="11"/>
  <c r="B188" i="11" s="1"/>
  <c r="C187" i="11"/>
  <c r="C188" i="11" s="1"/>
  <c r="D187" i="11"/>
  <c r="D188" i="11" s="1"/>
  <c r="F187" i="11"/>
  <c r="F188" i="11" s="1"/>
  <c r="Q186" i="11"/>
  <c r="Q185" i="11"/>
  <c r="N181" i="11"/>
  <c r="N182" i="11" s="1"/>
  <c r="R181" i="11"/>
  <c r="B181" i="11"/>
  <c r="B182" i="11" s="1"/>
  <c r="C181" i="11"/>
  <c r="C182" i="11" s="1"/>
  <c r="D181" i="11"/>
  <c r="D182" i="11" s="1"/>
  <c r="F181" i="11"/>
  <c r="F182" i="11" s="1"/>
  <c r="Q180" i="11"/>
  <c r="Q179" i="11"/>
  <c r="Q178" i="11"/>
  <c r="Q177" i="11"/>
  <c r="B176" i="11"/>
  <c r="C176" i="11"/>
  <c r="D176" i="11"/>
  <c r="F176" i="11"/>
  <c r="Q202" i="11"/>
  <c r="Q207" i="11" s="1"/>
  <c r="Q199" i="11"/>
  <c r="Q198" i="11"/>
  <c r="Q197" i="11"/>
  <c r="Q194" i="11"/>
  <c r="Q193" i="11"/>
  <c r="Q192" i="11"/>
  <c r="Q191" i="11"/>
  <c r="R190" i="11"/>
  <c r="B190" i="11"/>
  <c r="C190" i="11"/>
  <c r="D190" i="11"/>
  <c r="F190" i="11"/>
  <c r="Q190" i="11" s="1"/>
  <c r="B170" i="11"/>
  <c r="B167" i="11"/>
  <c r="B165" i="11"/>
  <c r="B160" i="11"/>
  <c r="B157" i="11"/>
  <c r="B156" i="11"/>
  <c r="B154" i="11"/>
  <c r="C154" i="11"/>
  <c r="D154" i="11"/>
  <c r="E155" i="11" s="1"/>
  <c r="N155" i="11"/>
  <c r="F154" i="11"/>
  <c r="N51" i="11"/>
  <c r="N52" i="11" s="1"/>
  <c r="R51" i="11"/>
  <c r="R52" i="11" s="1"/>
  <c r="B51" i="11"/>
  <c r="B52" i="11" s="1"/>
  <c r="C51" i="11"/>
  <c r="C52" i="11" s="1"/>
  <c r="D51" i="11"/>
  <c r="D52" i="11" s="1"/>
  <c r="F51" i="11"/>
  <c r="F52" i="11" s="1"/>
  <c r="Q50" i="11"/>
  <c r="N47" i="11"/>
  <c r="Q47" i="11"/>
  <c r="R47" i="11"/>
  <c r="B47" i="11"/>
  <c r="C47" i="11"/>
  <c r="D47" i="11"/>
  <c r="F47" i="11"/>
  <c r="N45" i="11"/>
  <c r="R45" i="11"/>
  <c r="B45" i="11"/>
  <c r="C45" i="11"/>
  <c r="D45" i="11"/>
  <c r="F45" i="11"/>
  <c r="N44" i="11"/>
  <c r="R44" i="11"/>
  <c r="B44" i="11"/>
  <c r="C44" i="11"/>
  <c r="D44" i="11"/>
  <c r="F44" i="11"/>
  <c r="N42" i="11"/>
  <c r="R42" i="11"/>
  <c r="B42" i="11"/>
  <c r="C42" i="11"/>
  <c r="D42" i="11"/>
  <c r="F42" i="11"/>
  <c r="Q41" i="11"/>
  <c r="N40" i="11"/>
  <c r="Q40" i="11"/>
  <c r="R40" i="11"/>
  <c r="B40" i="11"/>
  <c r="C40" i="11"/>
  <c r="D40" i="11"/>
  <c r="F40" i="11"/>
  <c r="N33" i="11"/>
  <c r="R33" i="11"/>
  <c r="B33" i="11"/>
  <c r="C33" i="11"/>
  <c r="D33" i="11"/>
  <c r="F33" i="11"/>
  <c r="Q32" i="11"/>
  <c r="N29" i="11"/>
  <c r="Q29" i="11"/>
  <c r="R29" i="11"/>
  <c r="B29" i="11"/>
  <c r="C29" i="11"/>
  <c r="D29" i="11"/>
  <c r="F29" i="11"/>
  <c r="B158" i="11"/>
  <c r="C58" i="11"/>
  <c r="D58" i="11"/>
  <c r="N73" i="11"/>
  <c r="N75" i="11" s="1"/>
  <c r="Q73" i="11"/>
  <c r="R73" i="11"/>
  <c r="N62" i="11"/>
  <c r="Q62" i="11"/>
  <c r="R62" i="11"/>
  <c r="B62" i="11"/>
  <c r="C62" i="11"/>
  <c r="D62" i="11"/>
  <c r="F62" i="11"/>
  <c r="N60" i="11"/>
  <c r="Q60" i="11"/>
  <c r="R60" i="11"/>
  <c r="B60" i="11"/>
  <c r="C60" i="11"/>
  <c r="D60" i="11"/>
  <c r="F60" i="11"/>
  <c r="N58" i="11"/>
  <c r="N61" i="11" s="1"/>
  <c r="Q58" i="11"/>
  <c r="Q61" i="11" s="1"/>
  <c r="R58" i="11"/>
  <c r="B53" i="11"/>
  <c r="C53" i="11"/>
  <c r="D53" i="11"/>
  <c r="F53" i="11"/>
  <c r="B149" i="11"/>
  <c r="R148" i="11"/>
  <c r="N143" i="11"/>
  <c r="Q143" i="11"/>
  <c r="R143" i="11"/>
  <c r="Q140" i="11"/>
  <c r="Q139" i="11"/>
  <c r="N138" i="11"/>
  <c r="N148" i="11" s="1"/>
  <c r="B138" i="11"/>
  <c r="B148" i="11" s="1"/>
  <c r="C138" i="11"/>
  <c r="C148" i="11" s="1"/>
  <c r="D138" i="11"/>
  <c r="D148" i="11" s="1"/>
  <c r="F138" i="11"/>
  <c r="F148" i="11" s="1"/>
  <c r="Q122" i="11"/>
  <c r="Q121" i="11"/>
  <c r="Q120" i="11"/>
  <c r="Q119" i="11"/>
  <c r="Q118" i="11"/>
  <c r="N117" i="11"/>
  <c r="N145" i="11" s="1"/>
  <c r="R117" i="11"/>
  <c r="B117" i="11"/>
  <c r="C117" i="11"/>
  <c r="D117" i="11"/>
  <c r="D145" i="11" s="1"/>
  <c r="E146" i="11" s="1"/>
  <c r="F117" i="11"/>
  <c r="N21" i="11"/>
  <c r="Q21" i="11"/>
  <c r="R21" i="11"/>
  <c r="B20" i="11"/>
  <c r="C20" i="11"/>
  <c r="D20" i="11"/>
  <c r="F20" i="11"/>
  <c r="Q16" i="11"/>
  <c r="Q10" i="11"/>
  <c r="N7" i="11"/>
  <c r="R7" i="11"/>
  <c r="B7" i="11"/>
  <c r="C7" i="11"/>
  <c r="D7" i="11"/>
  <c r="F7" i="11"/>
  <c r="Q4" i="11"/>
  <c r="Q124" i="11" s="1"/>
  <c r="F21" i="11" l="1"/>
  <c r="F25" i="11"/>
  <c r="D21" i="11"/>
  <c r="D25" i="11"/>
  <c r="D26" i="11" s="1"/>
  <c r="C21" i="11"/>
  <c r="C25" i="11"/>
  <c r="C26" i="11" s="1"/>
  <c r="F26" i="11"/>
  <c r="B21" i="11"/>
  <c r="B25" i="11"/>
  <c r="B26" i="11" s="1"/>
  <c r="Q123" i="11"/>
  <c r="S135" i="11"/>
  <c r="S134" i="11"/>
  <c r="O131" i="11"/>
  <c r="O134" i="11"/>
  <c r="O135" i="11"/>
  <c r="Q221" i="11"/>
  <c r="Q224" i="11" s="1"/>
  <c r="T146" i="11"/>
  <c r="R61" i="11"/>
  <c r="R182" i="11"/>
  <c r="R188" i="11"/>
  <c r="U90" i="11"/>
  <c r="R163" i="11"/>
  <c r="E149" i="11"/>
  <c r="O164" i="11"/>
  <c r="O166" i="11" s="1"/>
  <c r="Q45" i="11"/>
  <c r="Q7" i="11"/>
  <c r="Q75" i="11"/>
  <c r="Q42" i="11"/>
  <c r="Q163" i="11"/>
  <c r="U67" i="11"/>
  <c r="D153" i="11"/>
  <c r="B75" i="11"/>
  <c r="C155" i="11"/>
  <c r="G155" i="11"/>
  <c r="G173" i="11" s="1"/>
  <c r="F155" i="11"/>
  <c r="E156" i="11"/>
  <c r="E165" i="11"/>
  <c r="E167" i="11"/>
  <c r="E168" i="11"/>
  <c r="E157" i="11"/>
  <c r="E158" i="11"/>
  <c r="E163" i="11"/>
  <c r="E170" i="11"/>
  <c r="E160" i="11"/>
  <c r="E159" i="11"/>
  <c r="E164" i="11"/>
  <c r="G153" i="11"/>
  <c r="G172" i="11" s="1"/>
  <c r="F153" i="11"/>
  <c r="C75" i="11"/>
  <c r="D155" i="11"/>
  <c r="N67" i="11"/>
  <c r="Q67" i="11"/>
  <c r="S67" i="11"/>
  <c r="O146" i="11"/>
  <c r="O149" i="11" s="1"/>
  <c r="R75" i="11"/>
  <c r="S133" i="11"/>
  <c r="F145" i="11"/>
  <c r="N165" i="11"/>
  <c r="N170" i="11"/>
  <c r="N156" i="11"/>
  <c r="N167" i="11"/>
  <c r="N160" i="11"/>
  <c r="O147" i="11"/>
  <c r="N158" i="11"/>
  <c r="N157" i="11"/>
  <c r="S90" i="11"/>
  <c r="N163" i="11"/>
  <c r="S131" i="11"/>
  <c r="S132" i="11"/>
  <c r="S129" i="11"/>
  <c r="S130" i="11"/>
  <c r="O130" i="11"/>
  <c r="F48" i="11"/>
  <c r="O133" i="11"/>
  <c r="O132" i="11"/>
  <c r="O129" i="11"/>
  <c r="S147" i="11"/>
  <c r="C126" i="11"/>
  <c r="C48" i="11"/>
  <c r="B126" i="11"/>
  <c r="D48" i="11"/>
  <c r="B112" i="11"/>
  <c r="R48" i="11"/>
  <c r="B48" i="11"/>
  <c r="Q240" i="11"/>
  <c r="F113" i="11"/>
  <c r="N48" i="11"/>
  <c r="R113" i="11"/>
  <c r="R159" i="11"/>
  <c r="R162" i="11" s="1"/>
  <c r="D126" i="11"/>
  <c r="Q138" i="11"/>
  <c r="Q148" i="11" s="1"/>
  <c r="N146" i="11"/>
  <c r="F75" i="11"/>
  <c r="D147" i="11"/>
  <c r="N113" i="11"/>
  <c r="D113" i="11"/>
  <c r="C113" i="11"/>
  <c r="Q117" i="11"/>
  <c r="B58" i="11"/>
  <c r="B61" i="11" s="1"/>
  <c r="B67" i="11" s="1"/>
  <c r="B101" i="11"/>
  <c r="B152" i="11" s="1"/>
  <c r="N159" i="11"/>
  <c r="R126" i="11"/>
  <c r="Q112" i="11"/>
  <c r="B161" i="11"/>
  <c r="Q101" i="11"/>
  <c r="Q159" i="11"/>
  <c r="Q162" i="11" s="1"/>
  <c r="R161" i="11"/>
  <c r="Q161" i="11"/>
  <c r="Q90" i="11"/>
  <c r="N90" i="11"/>
  <c r="C61" i="11"/>
  <c r="C67" i="11" s="1"/>
  <c r="N147" i="11"/>
  <c r="F58" i="11"/>
  <c r="N126" i="11"/>
  <c r="F126" i="11"/>
  <c r="D61" i="11"/>
  <c r="D67" i="11" s="1"/>
  <c r="D89" i="11"/>
  <c r="B163" i="11"/>
  <c r="Q181" i="11"/>
  <c r="C145" i="11"/>
  <c r="D146" i="11" s="1"/>
  <c r="C89" i="11"/>
  <c r="B145" i="11"/>
  <c r="Q187" i="11"/>
  <c r="R145" i="11"/>
  <c r="D75" i="11"/>
  <c r="R89" i="11"/>
  <c r="Q51" i="11"/>
  <c r="Q52" i="11" s="1"/>
  <c r="Q89" i="11"/>
  <c r="N89" i="11"/>
  <c r="Q33" i="11"/>
  <c r="Q44" i="11"/>
  <c r="R135" i="11" l="1"/>
  <c r="R134" i="11"/>
  <c r="C131" i="11"/>
  <c r="C135" i="11"/>
  <c r="N135" i="11"/>
  <c r="N134" i="11"/>
  <c r="D135" i="11"/>
  <c r="D134" i="11"/>
  <c r="C134" i="11"/>
  <c r="B134" i="11"/>
  <c r="B135" i="11"/>
  <c r="F134" i="11"/>
  <c r="F135" i="11"/>
  <c r="Q223" i="11"/>
  <c r="T149" i="11"/>
  <c r="Q226" i="11"/>
  <c r="Q229" i="11"/>
  <c r="Q228" i="11"/>
  <c r="Q227" i="11"/>
  <c r="Q232" i="11"/>
  <c r="Q233" i="11"/>
  <c r="Q225" i="11"/>
  <c r="Q231" i="11"/>
  <c r="Q230" i="11"/>
  <c r="S164" i="11"/>
  <c r="S166" i="11" s="1"/>
  <c r="S169" i="11" s="1"/>
  <c r="S171" i="11" s="1"/>
  <c r="R90" i="11"/>
  <c r="R67" i="11"/>
  <c r="R164" i="11" s="1"/>
  <c r="R166" i="11" s="1"/>
  <c r="R169" i="11" s="1"/>
  <c r="R171" i="11" s="1"/>
  <c r="R130" i="11"/>
  <c r="S146" i="11"/>
  <c r="Q48" i="11"/>
  <c r="Q182" i="11"/>
  <c r="E166" i="11"/>
  <c r="E169" i="11" s="1"/>
  <c r="E171" i="11" s="1"/>
  <c r="Q188" i="11"/>
  <c r="U164" i="11"/>
  <c r="U166" i="11" s="1"/>
  <c r="U169" i="11" s="1"/>
  <c r="U171" i="11" s="1"/>
  <c r="U69" i="11"/>
  <c r="E162" i="11"/>
  <c r="E161" i="11"/>
  <c r="C153" i="11"/>
  <c r="C168" i="11" s="1"/>
  <c r="F147" i="11"/>
  <c r="G146" i="11"/>
  <c r="G157" i="11"/>
  <c r="G168" i="11"/>
  <c r="G156" i="11"/>
  <c r="G170" i="11"/>
  <c r="G160" i="11"/>
  <c r="G163" i="11"/>
  <c r="G167" i="11"/>
  <c r="G159" i="11"/>
  <c r="G165" i="11"/>
  <c r="G158" i="11"/>
  <c r="G164" i="11"/>
  <c r="C69" i="11"/>
  <c r="C72" i="11" s="1"/>
  <c r="B69" i="11"/>
  <c r="B72" i="11" s="1"/>
  <c r="B164" i="11"/>
  <c r="B166" i="11" s="1"/>
  <c r="D69" i="11"/>
  <c r="D72" i="11" s="1"/>
  <c r="D164" i="11"/>
  <c r="Q69" i="11"/>
  <c r="Q72" i="11" s="1"/>
  <c r="Q76" i="11" s="1"/>
  <c r="Q164" i="11"/>
  <c r="Q166" i="11" s="1"/>
  <c r="Q169" i="11" s="1"/>
  <c r="Q171" i="11" s="1"/>
  <c r="N69" i="11"/>
  <c r="N72" i="11" s="1"/>
  <c r="N164" i="11"/>
  <c r="N166" i="11" s="1"/>
  <c r="S69" i="11"/>
  <c r="U149" i="11"/>
  <c r="D130" i="11"/>
  <c r="D129" i="11"/>
  <c r="D131" i="11"/>
  <c r="D133" i="11"/>
  <c r="D132" i="11"/>
  <c r="C130" i="11"/>
  <c r="C132" i="11"/>
  <c r="C129" i="11"/>
  <c r="C133" i="11"/>
  <c r="B147" i="11"/>
  <c r="C146" i="11"/>
  <c r="C149" i="11" s="1"/>
  <c r="F146" i="11"/>
  <c r="F129" i="11"/>
  <c r="F131" i="11"/>
  <c r="F133" i="11"/>
  <c r="F130" i="11"/>
  <c r="F132" i="11"/>
  <c r="B132" i="11"/>
  <c r="B131" i="11"/>
  <c r="B130" i="11"/>
  <c r="B133" i="11"/>
  <c r="B129" i="11"/>
  <c r="N161" i="11"/>
  <c r="N162" i="11"/>
  <c r="N149" i="11"/>
  <c r="O169" i="11"/>
  <c r="O171" i="11" s="1"/>
  <c r="D163" i="11"/>
  <c r="D168" i="11"/>
  <c r="F165" i="11"/>
  <c r="F168" i="11"/>
  <c r="B90" i="11"/>
  <c r="F157" i="11"/>
  <c r="F167" i="11"/>
  <c r="B113" i="11"/>
  <c r="B159" i="11"/>
  <c r="B162" i="11" s="1"/>
  <c r="B89" i="11"/>
  <c r="F170" i="11"/>
  <c r="F163" i="11"/>
  <c r="F156" i="11"/>
  <c r="F160" i="11"/>
  <c r="D170" i="11"/>
  <c r="F158" i="11"/>
  <c r="Q126" i="11"/>
  <c r="D159" i="11"/>
  <c r="D90" i="11"/>
  <c r="C90" i="11"/>
  <c r="D160" i="11"/>
  <c r="D165" i="11"/>
  <c r="R131" i="11"/>
  <c r="D167" i="11"/>
  <c r="R132" i="11"/>
  <c r="Q145" i="11"/>
  <c r="R133" i="11"/>
  <c r="D158" i="11"/>
  <c r="R129" i="11"/>
  <c r="D156" i="11"/>
  <c r="Q113" i="11"/>
  <c r="D157" i="11"/>
  <c r="R147" i="11"/>
  <c r="F61" i="11"/>
  <c r="F159" i="11"/>
  <c r="C147" i="11"/>
  <c r="D149" i="11"/>
  <c r="N133" i="11"/>
  <c r="N132" i="11"/>
  <c r="N131" i="11"/>
  <c r="N129" i="11"/>
  <c r="N130" i="11"/>
  <c r="F89" i="11"/>
  <c r="Q135" i="11" l="1"/>
  <c r="Q134" i="11"/>
  <c r="Q234" i="11"/>
  <c r="S149" i="11"/>
  <c r="S72" i="11"/>
  <c r="C157" i="11"/>
  <c r="R69" i="11"/>
  <c r="R72" i="11" s="1"/>
  <c r="C164" i="11"/>
  <c r="U72" i="11"/>
  <c r="C165" i="11"/>
  <c r="C159" i="11"/>
  <c r="C156" i="11"/>
  <c r="C170" i="11"/>
  <c r="C160" i="11"/>
  <c r="C167" i="11"/>
  <c r="C158" i="11"/>
  <c r="C163" i="11"/>
  <c r="G162" i="11"/>
  <c r="G149" i="11"/>
  <c r="G166" i="11"/>
  <c r="G169" i="11" s="1"/>
  <c r="G171" i="11" s="1"/>
  <c r="G161" i="11"/>
  <c r="D166" i="11"/>
  <c r="F67" i="11"/>
  <c r="Q147" i="11"/>
  <c r="R146" i="11"/>
  <c r="Q146" i="11"/>
  <c r="F149" i="11"/>
  <c r="B169" i="11"/>
  <c r="B171" i="11" s="1"/>
  <c r="N169" i="11"/>
  <c r="N171" i="11" s="1"/>
  <c r="Q130" i="11"/>
  <c r="F161" i="11"/>
  <c r="Q133" i="11"/>
  <c r="Q132" i="11"/>
  <c r="Q131" i="11"/>
  <c r="Q129" i="11"/>
  <c r="D161" i="11"/>
  <c r="F162" i="11"/>
  <c r="D162" i="11"/>
  <c r="F90" i="11"/>
  <c r="U76" i="11" l="1"/>
  <c r="S76" i="11"/>
  <c r="C166" i="11"/>
  <c r="C169" i="11" s="1"/>
  <c r="C171" i="11" s="1"/>
  <c r="R76" i="11"/>
  <c r="C161" i="11"/>
  <c r="C162" i="11"/>
  <c r="Q149" i="11"/>
  <c r="F164" i="11"/>
  <c r="F166" i="11" s="1"/>
  <c r="F169" i="11" s="1"/>
  <c r="F171" i="11" s="1"/>
  <c r="F69" i="11"/>
  <c r="F72" i="11" s="1"/>
  <c r="R149" i="11"/>
  <c r="D169" i="11"/>
  <c r="D171" i="11" s="1"/>
  <c r="U173" i="11" l="1"/>
  <c r="U172" i="11"/>
  <c r="S173" i="11"/>
  <c r="S172" i="11"/>
  <c r="G51" i="11"/>
  <c r="U51" i="11" l="1"/>
  <c r="F76" i="11" l="1"/>
  <c r="F173" i="11" l="1"/>
  <c r="F172" i="11"/>
  <c r="W7" i="11" l="1"/>
  <c r="W126" i="11" l="1"/>
  <c r="W134" i="11" l="1"/>
  <c r="W135" i="11"/>
  <c r="W132" i="11"/>
  <c r="W131" i="11"/>
  <c r="W133" i="11"/>
  <c r="W129" i="11"/>
  <c r="W130" i="11"/>
  <c r="H56" i="11" l="1"/>
  <c r="J56" i="11" s="1"/>
  <c r="H66" i="11"/>
  <c r="J66" i="11" s="1"/>
  <c r="H80" i="11" l="1"/>
  <c r="H65" i="11" l="1"/>
  <c r="J65" i="11" s="1"/>
  <c r="H82" i="11"/>
  <c r="H84" i="11"/>
  <c r="Y62" i="11" l="1"/>
  <c r="AD62" i="11" s="1"/>
  <c r="H63" i="11"/>
  <c r="J63" i="11" s="1"/>
  <c r="H85" i="11"/>
  <c r="H64" i="11"/>
  <c r="J64" i="11" s="1"/>
  <c r="H59" i="11"/>
  <c r="J59" i="11" s="1"/>
  <c r="H110" i="11"/>
  <c r="H83" i="11"/>
  <c r="H62" i="11" l="1"/>
  <c r="J62" i="11" s="1"/>
  <c r="H68" i="11"/>
  <c r="J68" i="11" s="1"/>
  <c r="H55" i="11"/>
  <c r="J55" i="11" s="1"/>
  <c r="Y60" i="11"/>
  <c r="AD60" i="11" s="1"/>
  <c r="H108" i="11"/>
  <c r="H100" i="11"/>
  <c r="H105" i="11" l="1"/>
  <c r="H106" i="11"/>
  <c r="H96" i="11"/>
  <c r="H60" i="11"/>
  <c r="J60" i="11" s="1"/>
  <c r="H104" i="11"/>
  <c r="H81" i="11" l="1"/>
  <c r="H86" i="11" s="1"/>
  <c r="Y86" i="11"/>
  <c r="AD86" i="11" s="1"/>
  <c r="H94" i="11"/>
  <c r="H107" i="11"/>
  <c r="H97" i="11"/>
  <c r="H57" i="11"/>
  <c r="J57" i="11" s="1"/>
  <c r="Y58" i="11"/>
  <c r="AD58" i="11" s="1"/>
  <c r="Y61" i="11" l="1"/>
  <c r="AD61" i="11" s="1"/>
  <c r="Y89" i="11"/>
  <c r="H58" i="11"/>
  <c r="J58" i="11" s="1"/>
  <c r="H95" i="11"/>
  <c r="H61" i="11" l="1"/>
  <c r="J61" i="11" s="1"/>
  <c r="H89" i="11"/>
  <c r="H98" i="11"/>
  <c r="H101" i="11" s="1"/>
  <c r="H152" i="11" s="1"/>
  <c r="Y101" i="11"/>
  <c r="AD101" i="11" s="1"/>
  <c r="Y90" i="11"/>
  <c r="Y67" i="11"/>
  <c r="AD67" i="11" s="1"/>
  <c r="H153" i="11" l="1"/>
  <c r="H159" i="11" s="1"/>
  <c r="I153" i="11"/>
  <c r="Y69" i="11"/>
  <c r="AD69" i="11" s="1"/>
  <c r="H67" i="11"/>
  <c r="J67" i="11" s="1"/>
  <c r="H90" i="11"/>
  <c r="H157" i="11" l="1"/>
  <c r="H158" i="11"/>
  <c r="H163" i="11"/>
  <c r="H168" i="11"/>
  <c r="H165" i="11"/>
  <c r="H156" i="11"/>
  <c r="H160" i="11"/>
  <c r="H162" i="11" s="1"/>
  <c r="I168" i="11"/>
  <c r="I158" i="11"/>
  <c r="I160" i="11"/>
  <c r="I167" i="11"/>
  <c r="I165" i="11"/>
  <c r="I156" i="11"/>
  <c r="I157" i="11"/>
  <c r="I163" i="11"/>
  <c r="I159" i="11"/>
  <c r="I164" i="11"/>
  <c r="I172" i="11"/>
  <c r="H69" i="11"/>
  <c r="J69" i="11" s="1"/>
  <c r="H164" i="11"/>
  <c r="H161" i="11" l="1"/>
  <c r="H166" i="11"/>
  <c r="I161" i="11"/>
  <c r="I162" i="11"/>
  <c r="I166" i="11"/>
  <c r="I169" i="11" s="1"/>
  <c r="H70" i="11"/>
  <c r="J70" i="11" s="1"/>
  <c r="Y72" i="11"/>
  <c r="AD72" i="11" s="1"/>
  <c r="Y76" i="11" l="1"/>
  <c r="AD76" i="11" s="1"/>
  <c r="H167" i="11"/>
  <c r="H169" i="11" s="1"/>
  <c r="H72" i="11"/>
  <c r="J72" i="11" s="1"/>
  <c r="H76" i="11" l="1"/>
  <c r="J76" i="11" s="1"/>
  <c r="H172" i="11" l="1"/>
  <c r="H111" i="11" l="1"/>
  <c r="Y154" i="11"/>
  <c r="AD154" i="11" s="1"/>
  <c r="Y112" i="11"/>
  <c r="AD112" i="11" s="1"/>
  <c r="Z155" i="11" l="1"/>
  <c r="Y152" i="11"/>
  <c r="AD152" i="11" s="1"/>
  <c r="Y113" i="11"/>
  <c r="Y75" i="11"/>
  <c r="AD75" i="11" s="1"/>
  <c r="Y147" i="11"/>
  <c r="Y155" i="11"/>
  <c r="AD155" i="11" s="1"/>
  <c r="H154" i="11"/>
  <c r="I155" i="11" s="1"/>
  <c r="H112" i="11"/>
  <c r="H113" i="11" s="1"/>
  <c r="I173" i="11" l="1"/>
  <c r="I149" i="11"/>
  <c r="I170" i="11"/>
  <c r="I171" i="11" s="1"/>
  <c r="Z173" i="11"/>
  <c r="Z149" i="11"/>
  <c r="Z153" i="11"/>
  <c r="Y173" i="11"/>
  <c r="Y149" i="11"/>
  <c r="H75" i="11"/>
  <c r="J75" i="11" s="1"/>
  <c r="H147" i="11"/>
  <c r="H155" i="11"/>
  <c r="H173" i="11" s="1"/>
  <c r="Y153" i="11"/>
  <c r="AD153" i="11" s="1"/>
  <c r="Z170" i="11" l="1"/>
  <c r="Z165" i="11"/>
  <c r="Z163" i="11"/>
  <c r="Z156" i="11"/>
  <c r="Z172" i="11"/>
  <c r="Z164" i="11"/>
  <c r="Z157" i="11"/>
  <c r="Z159" i="11"/>
  <c r="Z160" i="11"/>
  <c r="Z158" i="11"/>
  <c r="Z167" i="11"/>
  <c r="Z168" i="11"/>
  <c r="Y170" i="11"/>
  <c r="Y168" i="11"/>
  <c r="Y157" i="11"/>
  <c r="Y160" i="11"/>
  <c r="Y156" i="11"/>
  <c r="Y165" i="11"/>
  <c r="Y163" i="11"/>
  <c r="Y158" i="11"/>
  <c r="Y159" i="11"/>
  <c r="Y164" i="11"/>
  <c r="Y167" i="11"/>
  <c r="Y172" i="11"/>
  <c r="H149" i="11"/>
  <c r="H170" i="11"/>
  <c r="H171" i="11" s="1"/>
  <c r="Z161" i="11" l="1"/>
  <c r="Z162" i="11"/>
  <c r="Z166" i="11"/>
  <c r="Z169" i="11" s="1"/>
  <c r="Z171" i="11" s="1"/>
  <c r="Y161" i="11"/>
  <c r="Y166" i="11"/>
  <c r="Y169" i="11" s="1"/>
  <c r="Y171" i="11" s="1"/>
  <c r="Y1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X10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Y10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Z10" authorId="0" shapeId="0" xr:uid="{6C92AB36-2D46-4B2F-AD8D-BCB39215EF3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A10" authorId="0" shapeId="0" xr:uid="{29C032FD-8F36-47BE-9A6D-7176AE653DB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B10" authorId="0" shapeId="0" xr:uid="{A9F58C3B-14E1-47D2-9FD7-E9C896859F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C10" authorId="0" shapeId="0" xr:uid="{64BA425E-EBE2-4E54-8E23-31023FA3652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T38" authorId="0" shapeId="0" xr:uid="{A6C5602F-46A5-4D7C-BA7D-90784A5BBC4D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38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38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38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38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Y38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Z38" authorId="0" shapeId="0" xr:uid="{85A6CD84-A6AD-4789-838C-66A4A80E4D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A38" authorId="0" shapeId="0" xr:uid="{A42D3511-54F3-4755-8305-86E721D366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B38" authorId="0" shapeId="0" xr:uid="{486D4F26-EB2B-4C00-BC3A-585BFF3D483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C38" authorId="0" shapeId="0" xr:uid="{B0BF553E-3BD3-4A40-86DD-F96F5734A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47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V47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W47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X47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Y47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Z47" authorId="0" shapeId="0" xr:uid="{D1FBCEC6-959F-4CCE-AB6A-98075732DA8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(1.03)% for Jun'23</t>
        </r>
      </text>
    </comment>
    <comment ref="AA47" authorId="0" shapeId="0" xr:uid="{DE51E0D4-A4A7-4518-9E97-2AF4D69AC8A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Sep'23</t>
        </r>
      </text>
    </comment>
    <comment ref="AB47" authorId="0" shapeId="0" xr:uid="{EC44973A-ABD4-458C-9E2C-828FB59A284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(1.13)% for Dec'23</t>
        </r>
      </text>
    </comment>
    <comment ref="AC47" authorId="0" shapeId="0" xr:uid="{9D33088E-1DCF-471B-AB17-C622FA13E45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(1.14)% for Mar'24</t>
        </r>
      </text>
    </comment>
    <comment ref="U48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V48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W48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X48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Y48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Z48" authorId="0" shapeId="0" xr:uid="{A4DEF5C4-01DC-4B1A-A4EC-ABE164EF578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(0.64)%. for Jun'23</t>
        </r>
      </text>
    </comment>
    <comment ref="AA48" authorId="0" shapeId="0" xr:uid="{F7EFB9A7-A8DC-4D18-9876-3160DB31584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(0.73)%. for Sep'23</t>
        </r>
      </text>
    </comment>
    <comment ref="AB48" authorId="0" shapeId="0" xr:uid="{CAFDEA5B-2498-4BFA-BD2B-A436140E495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(0.75)%. for Dec'23</t>
        </r>
      </text>
    </comment>
    <comment ref="AC48" authorId="0" shapeId="0" xr:uid="{3614CC9C-DB21-43AE-84E6-5CF8EC0C112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(0.77)%. for Mar'24</t>
        </r>
      </text>
    </comment>
    <comment ref="S71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<sst xmlns="http://schemas.openxmlformats.org/spreadsheetml/2006/main" count="370" uniqueCount="254">
  <si>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</si>
  <si>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</si>
  <si>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</si>
  <si>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</si>
  <si>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</si>
  <si>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</si>
  <si>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</si>
  <si>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</si>
  <si>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</si>
  <si>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</si>
  <si>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</si>
  <si>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</si>
  <si>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</si>
  <si>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</si>
  <si>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</si>
  <si>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</si>
  <si>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</si>
  <si>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</si>
  <si>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</si>
  <si>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</si>
  <si>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</si>
  <si>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</si>
  <si>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</si>
  <si>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</si>
  <si>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</si>
  <si>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</si>
  <si>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</si>
  <si>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</si>
  <si>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</si>
  <si>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</si>
  <si>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</si>
  <si>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</si>
  <si>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</si>
  <si>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</si>
  <si>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</si>
  <si>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</si>
  <si>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</si>
  <si>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</si>
  <si>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</si>
  <si>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</si>
  <si>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</si>
  <si>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</si>
  <si>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</si>
  <si>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</si>
  <si>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</si>
  <si>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</si>
  <si>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</si>
  <si>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</si>
  <si>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</si>
  <si>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</si>
  <si>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</si>
  <si>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</si>
  <si>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</si>
  <si>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</si>
  <si>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</si>
  <si>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</si>
  <si>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</si>
  <si>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</si>
  <si>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</si>
  <si>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</si>
  <si>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</si>
  <si>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</si>
  <si>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</si>
  <si>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</si>
  <si>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</si>
  <si>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</si>
  <si>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</si>
  <si>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</si>
  <si>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</si>
  <si>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</si>
  <si>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</si>
  <si>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</si>
  <si>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</si>
  <si>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</si>
  <si>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</si>
  <si>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</si>
  <si>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</si>
  <si>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</si>
  <si>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</si>
  <si>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</si>
  <si>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</si>
  <si>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</si>
  <si>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</si>
  <si>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</si>
  <si>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</si>
  <si>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</si>
  <si>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</si>
  <si>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</si>
  <si>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</si>
  <si>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</si>
  <si>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</si>
  <si>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</si>
  <si>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</si>
  <si>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</si>
  <si>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</si>
  <si>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</si>
  <si>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</si>
  <si>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</si>
  <si>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</si>
  <si>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</si>
  <si>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</si>
  <si>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</si>
  <si>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</si>
  <si>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</si>
  <si>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</si>
  <si>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</si>
  <si>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</si>
  <si>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</si>
  <si>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</si>
  <si>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</si>
  <si>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</si>
  <si>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</si>
  <si>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</si>
  <si>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</si>
  <si>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</si>
  <si>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</si>
  <si>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</si>
  <si>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</si>
  <si>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</si>
  <si>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</si>
  <si>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</si>
  <si>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</si>
  <si>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</si>
  <si>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</si>
  <si>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</si>
  <si>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</si>
  <si>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</si>
  <si>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</si>
  <si>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</si>
  <si>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</si>
  <si>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</si>
  <si>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</si>
  <si>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</si>
  <si>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</si>
  <si>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</si>
  <si>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</si>
  <si>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Delinquency Detail</t>
  </si>
  <si>
    <t>Housing Loan / Total</t>
  </si>
  <si>
    <t>New to Credit % of total</t>
  </si>
  <si>
    <t>Capital Adequacy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</si>
  <si>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</si>
  <si>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</si>
  <si>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</si>
  <si>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</si>
  <si>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</si>
  <si>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</si>
  <si>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</si>
  <si>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</si>
  <si>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</si>
  <si>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</si>
  <si>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</si>
  <si>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</si>
  <si>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</si>
  <si>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</si>
  <si>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</si>
  <si>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</si>
  <si>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</si>
  <si>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</si>
  <si>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</si>
  <si>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</si>
  <si>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</si>
  <si>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</si>
  <si>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</si>
  <si>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</si>
  <si>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</si>
  <si>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</si>
  <si>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</si>
  <si>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</si>
  <si>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</si>
  <si>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</si>
  <si>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</si>
  <si>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</si>
  <si>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</si>
  <si>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</si>
  <si>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</si>
  <si>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</si>
  <si>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</si>
  <si>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</si>
  <si>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</si>
  <si>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</si>
  <si>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</si>
  <si>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</si>
  <si>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</si>
  <si>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</si>
  <si>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</si>
  <si>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</si>
  <si>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</si>
  <si>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</si>
  <si>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</si>
  <si>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</si>
  <si>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</si>
  <si>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</si>
  <si>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</si>
  <si>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</si>
  <si>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</si>
  <si>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</si>
  <si>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</si>
  <si>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</si>
  <si>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</si>
  <si>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</si>
  <si>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</si>
  <si>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</si>
  <si>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q-o-q</t>
  </si>
  <si>
    <t>y-o-y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</si>
  <si>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</si>
  <si>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</si>
  <si>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</si>
  <si>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</si>
  <si>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</si>
  <si>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</si>
  <si>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</si>
  <si>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</si>
  <si>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</si>
  <si>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</si>
  <si>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</si>
  <si>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</si>
  <si>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</si>
  <si>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</si>
  <si>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</si>
  <si>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</si>
  <si>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</si>
  <si>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</si>
  <si>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</si>
  <si>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</si>
  <si>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</si>
  <si>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</si>
  <si>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</si>
  <si>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</si>
  <si>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</si>
  <si>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</si>
  <si>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</si>
  <si>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</si>
  <si>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Deferred tax assets (net)</t>
  </si>
  <si>
    <t>Q1FY24</t>
  </si>
  <si>
    <t>DPD 90+ (Pre-RBI Classification)</t>
  </si>
  <si>
    <t>DPD 90+/POS</t>
  </si>
  <si>
    <t>Q2FY24</t>
  </si>
  <si>
    <t>Q3FY24</t>
  </si>
  <si>
    <t>Co-Lending Assigned Assets</t>
  </si>
  <si>
    <t>Direct Assignment</t>
  </si>
  <si>
    <t>Co-lending</t>
  </si>
  <si>
    <t>Off-Book</t>
  </si>
  <si>
    <t>Co-Lending</t>
  </si>
  <si>
    <t>Direct Assigned Assets</t>
  </si>
  <si>
    <t>Direct Assigned Assets/ Gross Loan Assets</t>
  </si>
  <si>
    <t>Co-Lending  Assigned Assets/ Gross Loan Assets</t>
  </si>
  <si>
    <t>Net gain on fair value changes</t>
  </si>
  <si>
    <t>Co-Lending business during the period</t>
  </si>
  <si>
    <t>Impairment loss allowance / ECL (Total)</t>
  </si>
  <si>
    <t>Q4FY24</t>
  </si>
  <si>
    <t>AA- Positive</t>
  </si>
  <si>
    <t>FY24</t>
  </si>
  <si>
    <t>AUM by Ticket Size</t>
  </si>
  <si>
    <t>Yield (Ex Co-lending)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</si>
</sst>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  <numFmt numFmtId="171" formatCode="_ * #,##0_ ;_ * \-#,##0_ ;_ * &quot;-&quot;??_ ;_ @_ "/>
    <numFmt numFmtId="172" formatCode="_(* #,##0.000_);_(* \(#,##0.000\);_(* &quot;-&quot;??_);_(@_)"/>
    <numFmt numFmtId="173" formatCode="_ * #,##0.0000_ ;_ * \-#,##0.0000_ ;_ * &quot;-&quot;??_ ;_ @_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9" fontId="0" fillId="0" borderId="0" xfId="4" applyFon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10" fontId="3" fillId="0" borderId="0" xfId="4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0" fontId="0" fillId="0" borderId="0" xfId="4" applyNumberFormat="1" applyFont="1" applyAlignment="1">
      <alignment vertical="center"/>
    </xf>
    <xf numFmtId="172" fontId="0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J303"/>
  <sheetViews>
    <sheetView tabSelected="1" zoomScaleNormal="100"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C234" sqref="AC234"/>
    </sheetView>
  </sheetViews>
  <sheetFormatPr defaultColWidth="8.81640625" defaultRowHeight="14.5" x14ac:dyDescent="0.35"/>
  <cols>
    <col min="1" max="1" width="41.26953125" style="1" customWidth="1"/>
    <col min="2" max="8" width="9.1796875" style="3" customWidth="1"/>
    <col min="9" max="9" width="10.1796875" style="3" bestFit="1" customWidth="1"/>
    <col min="10" max="10" width="8" style="3" bestFit="1" customWidth="1"/>
    <col min="11" max="13" width="1.7265625" style="1" customWidth="1"/>
    <col min="14" max="15" width="9" style="3" bestFit="1" customWidth="1"/>
    <col min="16" max="16" width="8.453125" style="39" bestFit="1" customWidth="1"/>
    <col min="17" max="17" width="8.453125" style="3" bestFit="1" customWidth="1"/>
    <col min="18" max="18" width="10.453125" style="3" bestFit="1" customWidth="1"/>
    <col min="19" max="21" width="10.453125" style="39" bestFit="1" customWidth="1"/>
    <col min="22" max="27" width="10.54296875" style="39" bestFit="1" customWidth="1"/>
    <col min="28" max="28" width="11.1796875" style="39" bestFit="1" customWidth="1"/>
    <col min="29" max="29" width="11.453125" style="39" bestFit="1" customWidth="1"/>
    <col min="30" max="30" width="11.54296875" style="67" bestFit="1" customWidth="1"/>
    <col min="31" max="31" width="9.453125" style="67" bestFit="1" customWidth="1"/>
    <col min="32" max="32" width="2" style="67" customWidth="1"/>
    <col min="33" max="33" width="20" style="1" bestFit="1" customWidth="1"/>
    <col min="34" max="34" width="11.453125" style="1" bestFit="1" customWidth="1"/>
    <col min="35" max="16384" width="8.81640625" style="1"/>
  </cols>
  <sheetData>
    <row r="1" spans="1:36" s="5" customFormat="1" x14ac:dyDescent="0.3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211</v>
      </c>
      <c r="H1" s="6" t="s">
        <v>230</v>
      </c>
      <c r="I1" s="6" t="s">
        <v>251</v>
      </c>
      <c r="J1" s="6" t="s">
        <v>205</v>
      </c>
      <c r="N1" s="6" t="s">
        <v>38</v>
      </c>
      <c r="O1" s="6" t="s">
        <v>39</v>
      </c>
      <c r="P1" s="80" t="s">
        <v>40</v>
      </c>
      <c r="Q1" s="6" t="s">
        <v>74</v>
      </c>
      <c r="R1" s="6" t="s">
        <v>186</v>
      </c>
      <c r="S1" s="80" t="s">
        <v>191</v>
      </c>
      <c r="T1" s="80" t="s">
        <v>204</v>
      </c>
      <c r="U1" s="80" t="s">
        <v>212</v>
      </c>
      <c r="V1" s="80" t="s">
        <v>223</v>
      </c>
      <c r="W1" s="80" t="s">
        <v>226</v>
      </c>
      <c r="X1" s="80" t="s">
        <v>227</v>
      </c>
      <c r="Y1" s="80" t="s">
        <v>229</v>
      </c>
      <c r="Z1" s="80" t="s">
        <v>233</v>
      </c>
      <c r="AA1" s="80" t="s">
        <v>236</v>
      </c>
      <c r="AB1" s="80" t="s">
        <v>237</v>
      </c>
      <c r="AC1" s="80" t="s">
        <v>249</v>
      </c>
      <c r="AD1" s="66" t="s">
        <v>203</v>
      </c>
      <c r="AE1" s="66" t="s">
        <v>202</v>
      </c>
      <c r="AF1" s="66"/>
    </row>
    <row r="2" spans="1:36" s="5" customFormat="1" x14ac:dyDescent="0.35">
      <c r="A2" s="5" t="s">
        <v>189</v>
      </c>
      <c r="B2" s="6"/>
      <c r="C2" s="6"/>
      <c r="D2" s="6"/>
      <c r="E2" s="6"/>
      <c r="F2" s="6"/>
      <c r="G2" s="6"/>
      <c r="H2" s="6"/>
      <c r="I2" s="6"/>
      <c r="J2" s="6"/>
      <c r="N2" s="6"/>
      <c r="O2" s="6"/>
      <c r="P2" s="80"/>
      <c r="Q2" s="6"/>
      <c r="R2" s="6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66"/>
      <c r="AE2" s="66"/>
      <c r="AF2" s="66"/>
    </row>
    <row r="3" spans="1:36" x14ac:dyDescent="0.3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U3</f>
        <v>53803.35</v>
      </c>
      <c r="H3" s="26">
        <f>Y3</f>
        <v>71979.679999999993</v>
      </c>
      <c r="I3" s="26">
        <f>AC3</f>
        <v>96978.33</v>
      </c>
      <c r="J3" s="30">
        <f>I3/H3-1</f>
        <v>0.34730148842006536</v>
      </c>
      <c r="N3" s="26">
        <v>36225.129999999997</v>
      </c>
      <c r="O3" s="26">
        <v>37300.120000000003</v>
      </c>
      <c r="P3" s="26">
        <v>39406.466114549992</v>
      </c>
      <c r="Q3" s="26">
        <v>41410.720000000001</v>
      </c>
      <c r="R3" s="26">
        <v>42942.68</v>
      </c>
      <c r="S3" s="26">
        <v>46170.28</v>
      </c>
      <c r="T3" s="26">
        <v>49940.480000000003</v>
      </c>
      <c r="U3" s="26">
        <v>53803.35</v>
      </c>
      <c r="V3" s="26">
        <v>58318.83</v>
      </c>
      <c r="W3" s="26">
        <v>62754.37</v>
      </c>
      <c r="X3" s="26">
        <v>67511.78</v>
      </c>
      <c r="Y3" s="26">
        <v>71979.679999999993</v>
      </c>
      <c r="Z3" s="26">
        <v>77758.92</v>
      </c>
      <c r="AA3" s="26">
        <v>83654.45</v>
      </c>
      <c r="AB3" s="26">
        <v>90137.44</v>
      </c>
      <c r="AC3" s="26">
        <v>96978.33</v>
      </c>
      <c r="AD3" s="69">
        <f>IFERROR(AC3/Y3-1,"")</f>
        <v>0.34730148842006536</v>
      </c>
      <c r="AE3" s="69">
        <f>IFERROR(AC3/AB3-1,"")</f>
        <v>7.5893990332984718E-2</v>
      </c>
      <c r="AF3" s="69"/>
      <c r="AG3" s="116"/>
    </row>
    <row r="4" spans="1:36" x14ac:dyDescent="0.35">
      <c r="A4" s="1" t="s">
        <v>243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U4</f>
        <v>10251.59</v>
      </c>
      <c r="H4" s="26">
        <f t="shared" ref="H4:H6" si="0">Y4</f>
        <v>10564.91</v>
      </c>
      <c r="I4" s="26">
        <f>AC4</f>
        <v>12191.39</v>
      </c>
      <c r="J4" s="30">
        <f>IFERROR(I4/H4-1,"")</f>
        <v>0.15395114582140312</v>
      </c>
      <c r="N4" s="26">
        <v>7501.27</v>
      </c>
      <c r="O4" s="26">
        <v>7175.2</v>
      </c>
      <c r="P4" s="26">
        <v>6882.5057435312592</v>
      </c>
      <c r="Q4" s="26">
        <f>F4</f>
        <v>7655.86</v>
      </c>
      <c r="R4" s="26">
        <v>8487.92</v>
      </c>
      <c r="S4" s="26">
        <v>9285.1</v>
      </c>
      <c r="T4" s="26">
        <v>9914.15</v>
      </c>
      <c r="U4" s="26">
        <v>10251.59</v>
      </c>
      <c r="V4" s="26">
        <v>10507.439999999999</v>
      </c>
      <c r="W4" s="26">
        <v>10498.74</v>
      </c>
      <c r="X4" s="26">
        <v>10455.25</v>
      </c>
      <c r="Y4" s="26">
        <v>10564.91</v>
      </c>
      <c r="Z4" s="26">
        <v>10770.24</v>
      </c>
      <c r="AA4" s="26">
        <v>11135.94</v>
      </c>
      <c r="AB4" s="26">
        <v>11881.97</v>
      </c>
      <c r="AC4" s="26">
        <v>12191.39</v>
      </c>
      <c r="AD4" s="69">
        <f>IFERROR(AC4/Y4-1,"")</f>
        <v>0.15395114582140312</v>
      </c>
      <c r="AE4" s="69">
        <f>IFERROR(AC4/AB4-1,"")</f>
        <v>2.604113627622362E-2</v>
      </c>
      <c r="AF4" s="69"/>
    </row>
    <row r="5" spans="1:36" x14ac:dyDescent="0.35">
      <c r="A5" s="1" t="s">
        <v>238</v>
      </c>
      <c r="B5" s="26"/>
      <c r="C5" s="26"/>
      <c r="D5" s="26"/>
      <c r="E5" s="26"/>
      <c r="F5" s="26"/>
      <c r="G5" s="26">
        <f>U5</f>
        <v>0</v>
      </c>
      <c r="H5" s="26">
        <f t="shared" si="0"/>
        <v>856.07</v>
      </c>
      <c r="I5" s="26">
        <f>AC5</f>
        <v>2741.24</v>
      </c>
      <c r="J5" s="30">
        <f>IFERROR(I5/H5-1,"")</f>
        <v>2.2021213218545208</v>
      </c>
      <c r="N5" s="26"/>
      <c r="O5" s="26"/>
      <c r="P5" s="26"/>
      <c r="Q5" s="26"/>
      <c r="R5" s="26"/>
      <c r="S5" s="26">
        <v>0</v>
      </c>
      <c r="T5" s="26">
        <v>0</v>
      </c>
      <c r="U5" s="26">
        <v>0</v>
      </c>
      <c r="V5" s="26">
        <v>76.62</v>
      </c>
      <c r="W5" s="26">
        <v>241.97</v>
      </c>
      <c r="X5" s="26">
        <v>540.02</v>
      </c>
      <c r="Y5" s="26">
        <v>856.07</v>
      </c>
      <c r="Z5" s="26">
        <v>1181.47</v>
      </c>
      <c r="AA5" s="26">
        <v>1638.56</v>
      </c>
      <c r="AB5" s="26">
        <v>2169.8200000000002</v>
      </c>
      <c r="AC5" s="26">
        <v>2741.24</v>
      </c>
      <c r="AD5" s="69">
        <f>IFERROR(AC5/Y5-1,"")</f>
        <v>2.2021213218545208</v>
      </c>
      <c r="AE5" s="69">
        <f>IFERROR(AC5/AB5-1,"")</f>
        <v>0.26334903356038719</v>
      </c>
      <c r="AF5" s="69"/>
    </row>
    <row r="6" spans="1:36" s="2" customFormat="1" x14ac:dyDescent="0.35">
      <c r="A6" s="2" t="s">
        <v>76</v>
      </c>
      <c r="B6" s="27">
        <v>7928.97</v>
      </c>
      <c r="C6" s="27">
        <v>13144.09</v>
      </c>
      <c r="D6" s="27">
        <v>21466.74</v>
      </c>
      <c r="E6" s="27">
        <v>30406.600000000006</v>
      </c>
      <c r="F6" s="98">
        <v>33717.980000000003</v>
      </c>
      <c r="G6" s="35">
        <f>U6</f>
        <v>43515.16</v>
      </c>
      <c r="H6" s="35">
        <f t="shared" si="0"/>
        <v>60521.220000000008</v>
      </c>
      <c r="I6" s="35">
        <f>AC6</f>
        <v>82126.23</v>
      </c>
      <c r="J6" s="30">
        <f>I6/H6-1</f>
        <v>0.35698239394380993</v>
      </c>
      <c r="N6" s="27">
        <v>29000.59</v>
      </c>
      <c r="O6" s="27">
        <v>30120.57</v>
      </c>
      <c r="P6" s="27">
        <v>32519.565761586546</v>
      </c>
      <c r="Q6" s="27">
        <v>33717.980000000003</v>
      </c>
      <c r="R6" s="27">
        <v>34411.030000000013</v>
      </c>
      <c r="S6" s="27">
        <v>36858.879999999997</v>
      </c>
      <c r="T6" s="27">
        <v>40004.019999999997</v>
      </c>
      <c r="U6" s="98">
        <v>43515.16</v>
      </c>
      <c r="V6" s="98">
        <v>47677.66</v>
      </c>
      <c r="W6" s="98">
        <v>51950.879999999997</v>
      </c>
      <c r="X6" s="98">
        <v>56481</v>
      </c>
      <c r="Y6" s="98">
        <v>60521.220000000008</v>
      </c>
      <c r="Z6" s="98">
        <v>65793.959999999992</v>
      </c>
      <c r="AA6" s="98">
        <v>70884.98</v>
      </c>
      <c r="AB6" s="98">
        <v>76142.45</v>
      </c>
      <c r="AC6" s="98">
        <v>82126.23</v>
      </c>
      <c r="AD6" s="69">
        <f>IFERROR(AC6/Y6-1,"")</f>
        <v>0.35698239394380993</v>
      </c>
      <c r="AE6" s="69">
        <f>IFERROR(AC6/AB6-1,"")</f>
        <v>7.8586649103095541E-2</v>
      </c>
      <c r="AF6" s="69"/>
      <c r="AG6" s="1"/>
    </row>
    <row r="7" spans="1:36" s="8" customFormat="1" x14ac:dyDescent="0.35">
      <c r="A7" s="8" t="s">
        <v>244</v>
      </c>
      <c r="B7" s="28">
        <f t="shared" ref="B7:G7" si="1">B4/B3</f>
        <v>6.4016258397103315E-2</v>
      </c>
      <c r="C7" s="28">
        <f t="shared" si="1"/>
        <v>2.7628229144234372E-2</v>
      </c>
      <c r="D7" s="28">
        <f t="shared" si="1"/>
        <v>0.11952369766579608</v>
      </c>
      <c r="E7" s="28">
        <f t="shared" si="1"/>
        <v>0.15921301363048451</v>
      </c>
      <c r="F7" s="28">
        <f t="shared" si="1"/>
        <v>0.18487628324259997</v>
      </c>
      <c r="G7" s="28">
        <f t="shared" si="1"/>
        <v>0.19053813563653565</v>
      </c>
      <c r="H7" s="28">
        <f t="shared" ref="H7:I7" si="2">H4/H3</f>
        <v>0.14677628464033185</v>
      </c>
      <c r="I7" s="28">
        <f t="shared" si="2"/>
        <v>0.12571251742528458</v>
      </c>
      <c r="J7" s="28"/>
      <c r="N7" s="28">
        <f t="shared" ref="N7:U7" si="3">N4/N3</f>
        <v>0.20707365301380565</v>
      </c>
      <c r="O7" s="28">
        <f t="shared" si="3"/>
        <v>0.19236399239466251</v>
      </c>
      <c r="P7" s="37">
        <f t="shared" si="3"/>
        <v>0.17465422358667279</v>
      </c>
      <c r="Q7" s="28">
        <f t="shared" si="3"/>
        <v>0.18487628324259997</v>
      </c>
      <c r="R7" s="28">
        <f t="shared" si="3"/>
        <v>0.19765696970938934</v>
      </c>
      <c r="S7" s="37">
        <f t="shared" si="3"/>
        <v>0.20110555968038316</v>
      </c>
      <c r="T7" s="37">
        <f>T4/T3</f>
        <v>0.1985193173954275</v>
      </c>
      <c r="U7" s="37">
        <f t="shared" si="3"/>
        <v>0.19053813563653565</v>
      </c>
      <c r="V7" s="37">
        <f t="shared" ref="V7:W7" si="4">V4/V3</f>
        <v>0.18017233884836165</v>
      </c>
      <c r="W7" s="37">
        <f t="shared" si="4"/>
        <v>0.1672989466709649</v>
      </c>
      <c r="X7" s="37">
        <f t="shared" ref="X7:AB7" si="5">X4/X3</f>
        <v>0.15486556568349999</v>
      </c>
      <c r="Y7" s="37">
        <f t="shared" si="5"/>
        <v>0.14677628464033185</v>
      </c>
      <c r="Z7" s="37">
        <f t="shared" si="5"/>
        <v>0.13850809656306956</v>
      </c>
      <c r="AA7" s="37">
        <f t="shared" si="5"/>
        <v>0.13311832185855027</v>
      </c>
      <c r="AB7" s="37">
        <f t="shared" si="5"/>
        <v>0.13182058421006854</v>
      </c>
      <c r="AC7" s="37">
        <f>AC4/AC3</f>
        <v>0.12571251742528458</v>
      </c>
      <c r="AD7" s="62"/>
      <c r="AE7" s="63"/>
      <c r="AF7" s="63"/>
    </row>
    <row r="8" spans="1:36" s="8" customFormat="1" x14ac:dyDescent="0.35">
      <c r="A8" s="8" t="s">
        <v>245</v>
      </c>
      <c r="B8" s="28"/>
      <c r="C8" s="28"/>
      <c r="D8" s="28"/>
      <c r="E8" s="28"/>
      <c r="F8" s="28"/>
      <c r="G8" s="28"/>
      <c r="H8" s="37">
        <f t="shared" ref="H8:I8" si="6">H5/H3</f>
        <v>1.1893217641423247E-2</v>
      </c>
      <c r="I8" s="37">
        <f t="shared" si="6"/>
        <v>2.8266520984636462E-2</v>
      </c>
      <c r="J8" s="28"/>
      <c r="N8" s="28"/>
      <c r="O8" s="28"/>
      <c r="P8" s="37"/>
      <c r="Q8" s="28"/>
      <c r="R8" s="28"/>
      <c r="S8" s="37"/>
      <c r="T8" s="37"/>
      <c r="U8" s="37"/>
      <c r="V8" s="37">
        <f t="shared" ref="V8:AA8" si="7">V5/V3</f>
        <v>1.313812365577293E-3</v>
      </c>
      <c r="W8" s="37">
        <f t="shared" si="7"/>
        <v>3.8558270922009097E-3</v>
      </c>
      <c r="X8" s="37">
        <f t="shared" si="7"/>
        <v>7.9989003400591716E-3</v>
      </c>
      <c r="Y8" s="37">
        <f t="shared" si="7"/>
        <v>1.1893217641423247E-2</v>
      </c>
      <c r="Z8" s="37">
        <f t="shared" si="7"/>
        <v>1.5194012468280168E-2</v>
      </c>
      <c r="AA8" s="37">
        <f t="shared" si="7"/>
        <v>1.9587242519674686E-2</v>
      </c>
      <c r="AB8" s="37">
        <f>AB5/AB3</f>
        <v>2.4072349958019667E-2</v>
      </c>
      <c r="AC8" s="37">
        <f>AC5/AC3</f>
        <v>2.8266520984636462E-2</v>
      </c>
      <c r="AD8" s="62"/>
      <c r="AE8" s="63"/>
      <c r="AF8" s="63"/>
    </row>
    <row r="9" spans="1:36" x14ac:dyDescent="0.35">
      <c r="G9" s="16"/>
      <c r="H9" s="16"/>
      <c r="I9" s="16"/>
      <c r="P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6" x14ac:dyDescent="0.35">
      <c r="A10" s="1" t="s">
        <v>5</v>
      </c>
      <c r="B10" s="29">
        <v>1.02</v>
      </c>
      <c r="C10" s="29">
        <v>1.01</v>
      </c>
      <c r="D10" s="29">
        <v>1.01</v>
      </c>
      <c r="E10" s="29">
        <v>1</v>
      </c>
      <c r="F10" s="29">
        <v>1.01</v>
      </c>
      <c r="G10" s="29">
        <f>U10</f>
        <v>1.05</v>
      </c>
      <c r="H10" s="29">
        <f>Y10</f>
        <v>1.1100000000000001</v>
      </c>
      <c r="I10" s="29">
        <f>AC10</f>
        <v>1.1499999999999999</v>
      </c>
      <c r="J10" s="30">
        <f>I10/H10-1</f>
        <v>3.603603603603589E-2</v>
      </c>
      <c r="N10" s="29">
        <v>1</v>
      </c>
      <c r="O10" s="29">
        <v>1.01</v>
      </c>
      <c r="P10" s="29">
        <v>1.0052942618539171</v>
      </c>
      <c r="Q10" s="29">
        <f>F10</f>
        <v>1.01</v>
      </c>
      <c r="R10" s="29">
        <v>1.01</v>
      </c>
      <c r="S10" s="29">
        <v>1.02</v>
      </c>
      <c r="T10" s="29">
        <v>1.04</v>
      </c>
      <c r="U10" s="29">
        <v>1.05</v>
      </c>
      <c r="V10" s="29">
        <v>1.07</v>
      </c>
      <c r="W10" s="29">
        <v>1.0900000000000001</v>
      </c>
      <c r="X10" s="29">
        <v>1.0960000000000001</v>
      </c>
      <c r="Y10" s="29">
        <v>1.1100000000000001</v>
      </c>
      <c r="Z10" s="29">
        <v>1.1200000000000001</v>
      </c>
      <c r="AA10" s="29">
        <v>1.1299999999999999</v>
      </c>
      <c r="AB10" s="29">
        <v>1.1399999999999999</v>
      </c>
      <c r="AC10" s="29">
        <v>1.1499999999999999</v>
      </c>
      <c r="AD10" s="68"/>
    </row>
    <row r="11" spans="1:36" x14ac:dyDescent="0.35">
      <c r="AD11" s="69"/>
    </row>
    <row r="12" spans="1:36" x14ac:dyDescent="0.35">
      <c r="A12" s="25" t="s">
        <v>231</v>
      </c>
      <c r="B12" s="26">
        <v>0</v>
      </c>
      <c r="C12" s="26">
        <v>0</v>
      </c>
      <c r="D12" s="26">
        <v>2756</v>
      </c>
      <c r="E12" s="26">
        <v>3574</v>
      </c>
      <c r="F12" s="26">
        <v>3003</v>
      </c>
      <c r="G12" s="26">
        <f>SUM(R12:U12)</f>
        <v>4646.2</v>
      </c>
      <c r="H12" s="26">
        <f>SUM(V12:Y12)</f>
        <v>2892.64</v>
      </c>
      <c r="I12" s="26">
        <f>SUM(Z12:AC12)</f>
        <v>4141.1900000000005</v>
      </c>
      <c r="J12" s="30">
        <f>I12/H12-1</f>
        <v>0.43162992975275194</v>
      </c>
      <c r="N12" s="26">
        <v>1844</v>
      </c>
      <c r="O12" s="26">
        <v>0</v>
      </c>
      <c r="P12" s="29">
        <v>0</v>
      </c>
      <c r="Q12" s="26">
        <v>1159</v>
      </c>
      <c r="R12" s="26">
        <v>1183.3</v>
      </c>
      <c r="S12" s="26">
        <v>1273</v>
      </c>
      <c r="T12" s="26">
        <v>1140.2</v>
      </c>
      <c r="U12" s="26">
        <v>1049.7</v>
      </c>
      <c r="V12" s="35">
        <v>802.4</v>
      </c>
      <c r="W12" s="35">
        <v>691.09</v>
      </c>
      <c r="X12" s="35">
        <v>593.21</v>
      </c>
      <c r="Y12" s="35">
        <v>805.94</v>
      </c>
      <c r="Z12" s="35">
        <v>793.18</v>
      </c>
      <c r="AA12" s="35">
        <v>969.2</v>
      </c>
      <c r="AB12" s="35">
        <v>1346.84</v>
      </c>
      <c r="AC12" s="35">
        <v>1031.97</v>
      </c>
      <c r="AD12"/>
      <c r="AE12" s="69"/>
      <c r="AF12" s="69"/>
      <c r="AG12" s="111"/>
    </row>
    <row r="13" spans="1:36" x14ac:dyDescent="0.35">
      <c r="A13" s="25" t="s">
        <v>247</v>
      </c>
      <c r="B13" s="26"/>
      <c r="C13" s="26"/>
      <c r="D13" s="26"/>
      <c r="E13" s="26"/>
      <c r="F13" s="26"/>
      <c r="G13" s="26"/>
      <c r="H13" s="26">
        <f>SUM(V13:Y13)</f>
        <v>890.85000000000014</v>
      </c>
      <c r="I13" s="26">
        <f>SUM(Z13:AC13)</f>
        <v>2136.83</v>
      </c>
      <c r="J13" s="30">
        <f>IFERROR(I13/H13-1,"")</f>
        <v>1.3986417466464607</v>
      </c>
      <c r="N13" s="26"/>
      <c r="O13" s="26"/>
      <c r="P13" s="29"/>
      <c r="Q13" s="26"/>
      <c r="R13" s="26"/>
      <c r="S13" s="26"/>
      <c r="T13" s="26"/>
      <c r="U13" s="26"/>
      <c r="V13" s="35">
        <v>76.709999999999994</v>
      </c>
      <c r="W13" s="35">
        <v>165.84</v>
      </c>
      <c r="X13" s="35">
        <v>300.64</v>
      </c>
      <c r="Y13" s="35">
        <v>347.66</v>
      </c>
      <c r="Z13" s="35">
        <v>350.27</v>
      </c>
      <c r="AA13" s="35">
        <v>502.39</v>
      </c>
      <c r="AB13" s="35">
        <v>608.57000000000005</v>
      </c>
      <c r="AC13" s="35">
        <v>675.6</v>
      </c>
      <c r="AD13"/>
      <c r="AE13" s="69"/>
      <c r="AF13" s="69"/>
      <c r="AG13" s="111"/>
      <c r="AH13" s="111"/>
      <c r="AI13" s="111"/>
      <c r="AJ13" s="111"/>
    </row>
    <row r="14" spans="1:36" x14ac:dyDescent="0.35">
      <c r="W14" s="67"/>
      <c r="X14" s="67"/>
      <c r="Y14" s="67"/>
      <c r="Z14" s="67"/>
      <c r="AA14" s="67"/>
      <c r="AB14" s="67"/>
      <c r="AC14" s="67"/>
      <c r="AG14" s="117"/>
      <c r="AH14" s="118"/>
    </row>
    <row r="15" spans="1:36" x14ac:dyDescent="0.35">
      <c r="A15" s="1" t="s">
        <v>77</v>
      </c>
      <c r="B15" s="26">
        <v>4243.57</v>
      </c>
      <c r="C15" s="26">
        <v>7455.29</v>
      </c>
      <c r="D15" s="26">
        <v>15728.21</v>
      </c>
      <c r="E15" s="26">
        <v>16182.88</v>
      </c>
      <c r="F15" s="26">
        <v>10966.13</v>
      </c>
      <c r="G15" s="26">
        <f>SUM(R15:U15)</f>
        <v>20305.298867000001</v>
      </c>
      <c r="H15" s="26">
        <f>SUM(V15:Y15)</f>
        <v>30129.120000000003</v>
      </c>
      <c r="I15" s="26">
        <f>SUM(Z15:AC15)</f>
        <v>39633.97</v>
      </c>
      <c r="J15" s="30">
        <f>I15/H15-1</f>
        <v>0.31547054809433517</v>
      </c>
      <c r="N15" s="26">
        <v>528.07000000000005</v>
      </c>
      <c r="O15" s="26">
        <v>2431.41</v>
      </c>
      <c r="P15" s="26">
        <v>3488.2687700000006</v>
      </c>
      <c r="Q15" s="26">
        <v>4518.3900000000003</v>
      </c>
      <c r="R15" s="26">
        <v>3046.26</v>
      </c>
      <c r="S15" s="26">
        <v>5151.66</v>
      </c>
      <c r="T15" s="26">
        <v>5696.2588670000005</v>
      </c>
      <c r="U15" s="26">
        <v>6411.12</v>
      </c>
      <c r="V15" s="26">
        <v>6611.89</v>
      </c>
      <c r="W15" s="26">
        <v>7021.59</v>
      </c>
      <c r="X15" s="26">
        <v>7804.42</v>
      </c>
      <c r="Y15" s="26">
        <v>8691.2199999999993</v>
      </c>
      <c r="Z15" s="26">
        <v>8951.51</v>
      </c>
      <c r="AA15" s="26">
        <v>9591.49</v>
      </c>
      <c r="AB15" s="26">
        <v>10071.65</v>
      </c>
      <c r="AC15" s="26">
        <v>11019.32</v>
      </c>
      <c r="AD15" s="69">
        <f>IFERROR(AC15/Y15-1,"")</f>
        <v>0.26786803233608181</v>
      </c>
      <c r="AE15" s="69">
        <f>IFERROR(AC15/AB15-1,"")</f>
        <v>9.4092824909523198E-2</v>
      </c>
      <c r="AF15" s="69"/>
      <c r="AG15" s="117"/>
      <c r="AH15" s="118"/>
    </row>
    <row r="16" spans="1:36" x14ac:dyDescent="0.35">
      <c r="A16" s="1" t="s">
        <v>78</v>
      </c>
      <c r="B16" s="26">
        <v>9747</v>
      </c>
      <c r="C16" s="26">
        <v>15723</v>
      </c>
      <c r="D16" s="26">
        <v>29372</v>
      </c>
      <c r="E16" s="26">
        <v>43094</v>
      </c>
      <c r="F16" s="26">
        <v>50417</v>
      </c>
      <c r="G16" s="26">
        <f>U16</f>
        <v>62055</v>
      </c>
      <c r="H16" s="26">
        <f>Y16</f>
        <v>77927</v>
      </c>
      <c r="I16" s="26">
        <f>AC16</f>
        <v>95974</v>
      </c>
      <c r="J16" s="30">
        <f>I16/H16-1</f>
        <v>0.23158853799068368</v>
      </c>
      <c r="N16" s="26">
        <v>43205</v>
      </c>
      <c r="O16" s="26">
        <v>44796</v>
      </c>
      <c r="P16" s="26">
        <v>47440</v>
      </c>
      <c r="Q16" s="26">
        <f>F16</f>
        <v>50417</v>
      </c>
      <c r="R16" s="26">
        <v>52042</v>
      </c>
      <c r="S16" s="26">
        <v>55243</v>
      </c>
      <c r="T16" s="26">
        <v>58615</v>
      </c>
      <c r="U16" s="26">
        <v>62055</v>
      </c>
      <c r="V16" s="26">
        <v>65638</v>
      </c>
      <c r="W16" s="26">
        <v>69395</v>
      </c>
      <c r="X16" s="26">
        <v>73551</v>
      </c>
      <c r="Y16" s="26">
        <v>77927</v>
      </c>
      <c r="Z16" s="26">
        <v>82266</v>
      </c>
      <c r="AA16" s="26">
        <v>86542</v>
      </c>
      <c r="AB16" s="26">
        <v>91305</v>
      </c>
      <c r="AC16" s="26">
        <v>95974</v>
      </c>
      <c r="AD16" s="69">
        <f>IFERROR(AC16/Y16-1,"")</f>
        <v>0.23158853799068368</v>
      </c>
      <c r="AE16" s="69">
        <f>IFERROR(AC16/AB16-1,"")</f>
        <v>5.113630140737091E-2</v>
      </c>
      <c r="AF16" s="69"/>
    </row>
    <row r="17" spans="1:34" x14ac:dyDescent="0.35">
      <c r="N17" s="11"/>
      <c r="O17" s="11"/>
      <c r="P17" s="81"/>
      <c r="Q17" s="11"/>
      <c r="R17" s="1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34" s="2" customFormat="1" x14ac:dyDescent="0.35">
      <c r="A18" s="2" t="s">
        <v>142</v>
      </c>
      <c r="B18" s="4"/>
      <c r="C18" s="4"/>
      <c r="D18" s="4"/>
      <c r="E18" s="4"/>
      <c r="F18" s="4"/>
      <c r="G18" s="4"/>
      <c r="H18" s="4"/>
      <c r="I18" s="4"/>
      <c r="J18" s="4"/>
      <c r="N18" s="53"/>
      <c r="O18" s="53"/>
      <c r="P18" s="34"/>
      <c r="Q18" s="53"/>
      <c r="R18" s="5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70"/>
      <c r="AE18" s="70"/>
      <c r="AF18" s="70"/>
    </row>
    <row r="19" spans="1:34" x14ac:dyDescent="0.35">
      <c r="A19" s="1" t="s">
        <v>141</v>
      </c>
      <c r="B19" s="30">
        <v>0.13200000000000001</v>
      </c>
      <c r="C19" s="30">
        <v>0.126</v>
      </c>
      <c r="D19" s="30">
        <v>0.123</v>
      </c>
      <c r="E19" s="30">
        <v>0.129</v>
      </c>
      <c r="F19" s="30">
        <v>0.13</v>
      </c>
      <c r="G19" s="30">
        <v>0.128</v>
      </c>
      <c r="H19" s="30">
        <v>0.13100000000000001</v>
      </c>
      <c r="I19" s="30">
        <v>0.13600000000000001</v>
      </c>
      <c r="J19" s="30"/>
      <c r="N19" s="30">
        <v>0.1305</v>
      </c>
      <c r="O19" s="30">
        <v>0.1305</v>
      </c>
      <c r="P19" s="30">
        <v>0.13009999999999999</v>
      </c>
      <c r="Q19" s="30">
        <v>0.12809999999999999</v>
      </c>
      <c r="R19" s="30">
        <v>0.12740000000000001</v>
      </c>
      <c r="S19" s="30">
        <v>0.12759999999999999</v>
      </c>
      <c r="T19" s="30">
        <v>0.128</v>
      </c>
      <c r="U19" s="30">
        <v>0.12770000000000001</v>
      </c>
      <c r="V19" s="30">
        <v>0.12740000000000001</v>
      </c>
      <c r="W19" s="30">
        <v>0.12977338528662619</v>
      </c>
      <c r="X19" s="30">
        <v>0.13100000000000001</v>
      </c>
      <c r="Y19" s="30">
        <v>0.13400000000000001</v>
      </c>
      <c r="Z19" s="30">
        <v>0.13700000000000001</v>
      </c>
      <c r="AA19" s="30">
        <v>0.13600000000000001</v>
      </c>
      <c r="AB19" s="30">
        <v>0.13500000000000001</v>
      </c>
      <c r="AC19" s="30">
        <v>0.13500000000000001</v>
      </c>
    </row>
    <row r="20" spans="1:34" x14ac:dyDescent="0.35">
      <c r="A20" s="1" t="s">
        <v>146</v>
      </c>
      <c r="B20" s="30">
        <f>B143</f>
        <v>0.10199999999999999</v>
      </c>
      <c r="C20" s="30">
        <f>C143</f>
        <v>8.7999999999999995E-2</v>
      </c>
      <c r="D20" s="30">
        <f>D143</f>
        <v>8.4000000000000005E-2</v>
      </c>
      <c r="E20" s="30">
        <f>E143</f>
        <v>8.7999999999999995E-2</v>
      </c>
      <c r="F20" s="30">
        <f>F143</f>
        <v>0.08</v>
      </c>
      <c r="G20" s="30">
        <v>7.1999999999999995E-2</v>
      </c>
      <c r="H20" s="30">
        <v>7.3999999999999996E-2</v>
      </c>
      <c r="I20" s="30">
        <v>8.2000000000000003E-2</v>
      </c>
      <c r="J20" s="30"/>
      <c r="N20" s="30">
        <v>8.5000000000000006E-2</v>
      </c>
      <c r="O20" s="30">
        <v>8.2699999999999996E-2</v>
      </c>
      <c r="P20" s="30">
        <v>8.0299999999999996E-2</v>
      </c>
      <c r="Q20" s="30">
        <v>7.4200000000000002E-2</v>
      </c>
      <c r="R20" s="30">
        <v>7.17E-2</v>
      </c>
      <c r="S20" s="30">
        <v>7.1300000000000002E-2</v>
      </c>
      <c r="T20" s="30">
        <v>7.1599999999999997E-2</v>
      </c>
      <c r="U20" s="30">
        <v>7.1499999999999994E-2</v>
      </c>
      <c r="V20" s="30">
        <v>6.93E-2</v>
      </c>
      <c r="W20" s="30">
        <v>7.1326876000869593E-2</v>
      </c>
      <c r="X20" s="30">
        <v>7.3999999999999996E-2</v>
      </c>
      <c r="Y20" s="30">
        <v>7.9000000000000001E-2</v>
      </c>
      <c r="Z20" s="30">
        <v>0.08</v>
      </c>
      <c r="AA20" s="30">
        <v>8.1000000000000003E-2</v>
      </c>
      <c r="AB20" s="30">
        <v>8.2000000000000003E-2</v>
      </c>
      <c r="AC20" s="30">
        <v>8.3000000000000004E-2</v>
      </c>
    </row>
    <row r="21" spans="1:34" x14ac:dyDescent="0.35">
      <c r="A21" s="1" t="s">
        <v>1</v>
      </c>
      <c r="B21" s="45">
        <f t="shared" ref="B21:G21" si="8">B19-B20</f>
        <v>3.0000000000000013E-2</v>
      </c>
      <c r="C21" s="45">
        <f t="shared" si="8"/>
        <v>3.8000000000000006E-2</v>
      </c>
      <c r="D21" s="45">
        <f t="shared" si="8"/>
        <v>3.8999999999999993E-2</v>
      </c>
      <c r="E21" s="45">
        <f t="shared" si="8"/>
        <v>4.1000000000000009E-2</v>
      </c>
      <c r="F21" s="45">
        <f t="shared" si="8"/>
        <v>0.05</v>
      </c>
      <c r="G21" s="45">
        <f t="shared" si="8"/>
        <v>5.6000000000000008E-2</v>
      </c>
      <c r="H21" s="45">
        <f>H19-H20</f>
        <v>5.7000000000000009E-2</v>
      </c>
      <c r="I21" s="45">
        <f>I19-I20</f>
        <v>5.4000000000000006E-2</v>
      </c>
      <c r="J21" s="45"/>
      <c r="N21" s="45">
        <f t="shared" ref="N21:U21" si="9">N19-N20</f>
        <v>4.5499999999999999E-2</v>
      </c>
      <c r="O21" s="45">
        <f t="shared" si="9"/>
        <v>4.7800000000000009E-2</v>
      </c>
      <c r="P21" s="45">
        <f t="shared" si="9"/>
        <v>4.9799999999999997E-2</v>
      </c>
      <c r="Q21" s="45">
        <f t="shared" si="9"/>
        <v>5.389999999999999E-2</v>
      </c>
      <c r="R21" s="45">
        <f t="shared" si="9"/>
        <v>5.5700000000000013E-2</v>
      </c>
      <c r="S21" s="45">
        <f t="shared" si="9"/>
        <v>5.6299999999999989E-2</v>
      </c>
      <c r="T21" s="45">
        <f>T19-T20</f>
        <v>5.6400000000000006E-2</v>
      </c>
      <c r="U21" s="45">
        <f t="shared" si="9"/>
        <v>5.6200000000000014E-2</v>
      </c>
      <c r="V21" s="45">
        <f t="shared" ref="V21" si="10">V19-V20</f>
        <v>5.8100000000000013E-2</v>
      </c>
      <c r="W21" s="45">
        <f t="shared" ref="W21:AA21" si="11">W19-W20</f>
        <v>5.8446509285756593E-2</v>
      </c>
      <c r="X21" s="45">
        <f t="shared" si="11"/>
        <v>5.7000000000000009E-2</v>
      </c>
      <c r="Y21" s="45">
        <f t="shared" si="11"/>
        <v>5.5000000000000007E-2</v>
      </c>
      <c r="Z21" s="45">
        <f t="shared" si="11"/>
        <v>5.7000000000000009E-2</v>
      </c>
      <c r="AA21" s="45">
        <f t="shared" si="11"/>
        <v>5.5000000000000007E-2</v>
      </c>
      <c r="AB21" s="45">
        <f>AB19-AB20</f>
        <v>5.3000000000000005E-2</v>
      </c>
      <c r="AC21" s="45">
        <f>AC19-AC20</f>
        <v>5.2000000000000005E-2</v>
      </c>
    </row>
    <row r="22" spans="1:34" x14ac:dyDescent="0.35">
      <c r="B22" s="11"/>
      <c r="C22" s="11"/>
      <c r="D22" s="11"/>
      <c r="E22" s="11"/>
      <c r="F22" s="11"/>
      <c r="G22" s="11"/>
      <c r="H22" s="11"/>
      <c r="I22" s="11"/>
      <c r="J22" s="11"/>
      <c r="N22" s="49"/>
      <c r="O22" s="49"/>
      <c r="P22" s="81"/>
      <c r="Q22" s="77"/>
      <c r="R22" s="77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34" s="2" customFormat="1" x14ac:dyDescent="0.35">
      <c r="A23" s="2" t="s">
        <v>253</v>
      </c>
      <c r="B23" s="4"/>
      <c r="C23" s="4"/>
      <c r="D23" s="4"/>
      <c r="E23" s="4"/>
      <c r="F23" s="4"/>
      <c r="G23" s="4"/>
      <c r="H23" s="4"/>
      <c r="I23" s="4"/>
      <c r="J23" s="4"/>
      <c r="N23" s="53"/>
      <c r="O23" s="53"/>
      <c r="P23" s="34"/>
      <c r="Q23" s="53"/>
      <c r="R23" s="5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70"/>
      <c r="AE23" s="70"/>
      <c r="AF23" s="70"/>
    </row>
    <row r="24" spans="1:34" x14ac:dyDescent="0.35">
      <c r="A24" s="1" t="s">
        <v>141</v>
      </c>
      <c r="B24" s="30">
        <f>B19</f>
        <v>0.13200000000000001</v>
      </c>
      <c r="C24" s="30">
        <f t="shared" ref="C24:G25" si="12">C19</f>
        <v>0.126</v>
      </c>
      <c r="D24" s="30">
        <f t="shared" si="12"/>
        <v>0.123</v>
      </c>
      <c r="E24" s="30">
        <f t="shared" si="12"/>
        <v>0.129</v>
      </c>
      <c r="F24" s="30">
        <f t="shared" si="12"/>
        <v>0.13</v>
      </c>
      <c r="G24" s="30">
        <f t="shared" si="12"/>
        <v>0.128</v>
      </c>
      <c r="H24" s="30">
        <v>0.13100000000000001</v>
      </c>
      <c r="I24" s="30">
        <v>0.13600000000000001</v>
      </c>
      <c r="J24" s="30"/>
      <c r="N24" s="30">
        <v>0.1305</v>
      </c>
      <c r="O24" s="30">
        <v>0.1305</v>
      </c>
      <c r="P24" s="30">
        <v>0.13009999999999999</v>
      </c>
      <c r="Q24" s="30">
        <v>0.12809999999999999</v>
      </c>
      <c r="R24" s="30">
        <v>0.12740000000000001</v>
      </c>
      <c r="S24" s="30">
        <v>0.12759999999999999</v>
      </c>
      <c r="T24" s="30">
        <v>0.128</v>
      </c>
      <c r="U24" s="30">
        <v>0.12770000000000001</v>
      </c>
      <c r="V24" s="30">
        <v>0.127</v>
      </c>
      <c r="W24" s="30">
        <v>0.13</v>
      </c>
      <c r="X24" s="30">
        <v>0.13100000000000001</v>
      </c>
      <c r="Y24" s="30">
        <v>0.13400000000000001</v>
      </c>
      <c r="Z24" s="30">
        <v>0.13700000000000001</v>
      </c>
      <c r="AA24" s="30">
        <v>0.13700000000000001</v>
      </c>
      <c r="AB24" s="30">
        <v>0.13700000000000001</v>
      </c>
      <c r="AC24" s="30">
        <v>0.13600000000000001</v>
      </c>
    </row>
    <row r="25" spans="1:34" x14ac:dyDescent="0.35">
      <c r="A25" s="1" t="s">
        <v>146</v>
      </c>
      <c r="B25" s="30">
        <f>B20</f>
        <v>0.10199999999999999</v>
      </c>
      <c r="C25" s="30">
        <f t="shared" si="12"/>
        <v>8.7999999999999995E-2</v>
      </c>
      <c r="D25" s="30">
        <f t="shared" si="12"/>
        <v>8.4000000000000005E-2</v>
      </c>
      <c r="E25" s="30">
        <f t="shared" si="12"/>
        <v>8.7999999999999995E-2</v>
      </c>
      <c r="F25" s="30">
        <f t="shared" si="12"/>
        <v>0.08</v>
      </c>
      <c r="G25" s="30">
        <f t="shared" si="12"/>
        <v>7.1999999999999995E-2</v>
      </c>
      <c r="H25" s="30">
        <v>7.3999999999999996E-2</v>
      </c>
      <c r="I25" s="30">
        <v>8.1000000000000003E-2</v>
      </c>
      <c r="J25" s="30"/>
      <c r="N25" s="30">
        <v>8.5000000000000006E-2</v>
      </c>
      <c r="O25" s="30">
        <v>8.2699999999999996E-2</v>
      </c>
      <c r="P25" s="30">
        <v>8.0299999999999996E-2</v>
      </c>
      <c r="Q25" s="30">
        <v>7.4200000000000002E-2</v>
      </c>
      <c r="R25" s="30">
        <v>7.17E-2</v>
      </c>
      <c r="S25" s="30">
        <v>7.1300000000000002E-2</v>
      </c>
      <c r="T25" s="30">
        <v>7.1599999999999997E-2</v>
      </c>
      <c r="U25" s="30">
        <v>7.1499999999999994E-2</v>
      </c>
      <c r="V25" s="30">
        <v>6.9000000000000006E-2</v>
      </c>
      <c r="W25" s="30">
        <v>7.0999999999999994E-2</v>
      </c>
      <c r="X25" s="30">
        <v>7.3999999999999996E-2</v>
      </c>
      <c r="Y25" s="30">
        <v>7.9000000000000001E-2</v>
      </c>
      <c r="Z25" s="30">
        <v>0.08</v>
      </c>
      <c r="AA25" s="30">
        <v>8.1000000000000003E-2</v>
      </c>
      <c r="AB25" s="30">
        <v>8.2000000000000003E-2</v>
      </c>
      <c r="AC25" s="30">
        <v>8.2000000000000003E-2</v>
      </c>
    </row>
    <row r="26" spans="1:34" x14ac:dyDescent="0.35">
      <c r="A26" s="1" t="s">
        <v>1</v>
      </c>
      <c r="B26" s="45">
        <f t="shared" ref="B26:G26" si="13">B24-B25</f>
        <v>3.0000000000000013E-2</v>
      </c>
      <c r="C26" s="45">
        <f t="shared" si="13"/>
        <v>3.8000000000000006E-2</v>
      </c>
      <c r="D26" s="45">
        <f t="shared" si="13"/>
        <v>3.8999999999999993E-2</v>
      </c>
      <c r="E26" s="45">
        <f t="shared" si="13"/>
        <v>4.1000000000000009E-2</v>
      </c>
      <c r="F26" s="45">
        <f t="shared" si="13"/>
        <v>0.05</v>
      </c>
      <c r="G26" s="45">
        <f t="shared" si="13"/>
        <v>5.6000000000000008E-2</v>
      </c>
      <c r="H26" s="45">
        <f>H24-H25</f>
        <v>5.7000000000000009E-2</v>
      </c>
      <c r="I26" s="45">
        <f>I24-I25</f>
        <v>5.5000000000000007E-2</v>
      </c>
      <c r="J26" s="45"/>
      <c r="N26" s="45">
        <f t="shared" ref="N26:S26" si="14">N24-N25</f>
        <v>4.5499999999999999E-2</v>
      </c>
      <c r="O26" s="45">
        <f t="shared" si="14"/>
        <v>4.7800000000000009E-2</v>
      </c>
      <c r="P26" s="45">
        <f t="shared" si="14"/>
        <v>4.9799999999999997E-2</v>
      </c>
      <c r="Q26" s="45">
        <f t="shared" si="14"/>
        <v>5.389999999999999E-2</v>
      </c>
      <c r="R26" s="45">
        <f t="shared" si="14"/>
        <v>5.5700000000000013E-2</v>
      </c>
      <c r="S26" s="45">
        <f t="shared" si="14"/>
        <v>5.6299999999999989E-2</v>
      </c>
      <c r="T26" s="45">
        <f>T24-T25</f>
        <v>5.6400000000000006E-2</v>
      </c>
      <c r="U26" s="45">
        <f t="shared" ref="U26:AA26" si="15">U24-U25</f>
        <v>5.6200000000000014E-2</v>
      </c>
      <c r="V26" s="45">
        <f t="shared" si="15"/>
        <v>5.7999999999999996E-2</v>
      </c>
      <c r="W26" s="45">
        <f t="shared" si="15"/>
        <v>5.9000000000000011E-2</v>
      </c>
      <c r="X26" s="45">
        <f t="shared" si="15"/>
        <v>5.7000000000000009E-2</v>
      </c>
      <c r="Y26" s="45">
        <f t="shared" si="15"/>
        <v>5.5000000000000007E-2</v>
      </c>
      <c r="Z26" s="45">
        <f t="shared" si="15"/>
        <v>5.7000000000000009E-2</v>
      </c>
      <c r="AA26" s="45">
        <f t="shared" si="15"/>
        <v>5.6000000000000008E-2</v>
      </c>
      <c r="AB26" s="45">
        <f>AB24-AB25</f>
        <v>5.5000000000000007E-2</v>
      </c>
      <c r="AC26" s="45">
        <f>AC24-AC25</f>
        <v>5.4000000000000006E-2</v>
      </c>
    </row>
    <row r="28" spans="1:34" s="5" customFormat="1" x14ac:dyDescent="0.35">
      <c r="A28" s="5" t="s">
        <v>136</v>
      </c>
      <c r="B28" s="6"/>
      <c r="C28" s="6"/>
      <c r="D28" s="6"/>
      <c r="E28" s="6"/>
      <c r="F28" s="6"/>
      <c r="G28" s="6"/>
      <c r="H28" s="6"/>
      <c r="I28" s="6"/>
      <c r="J28" s="6"/>
      <c r="N28" s="6"/>
      <c r="O28" s="6"/>
      <c r="P28" s="80"/>
      <c r="Q28" s="6"/>
      <c r="R28" s="6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66"/>
      <c r="AE28" s="66"/>
      <c r="AF28" s="66"/>
    </row>
    <row r="29" spans="1:34" s="2" customFormat="1" x14ac:dyDescent="0.35">
      <c r="A29" s="2" t="s">
        <v>108</v>
      </c>
      <c r="B29" s="4" t="str">
        <f t="shared" ref="B29:G29" si="16">B1</f>
        <v>FY17</v>
      </c>
      <c r="C29" s="4" t="str">
        <f t="shared" si="16"/>
        <v>FY18</v>
      </c>
      <c r="D29" s="4" t="str">
        <f t="shared" si="16"/>
        <v>FY19</v>
      </c>
      <c r="E29" s="4" t="str">
        <f t="shared" si="16"/>
        <v>FY20</v>
      </c>
      <c r="F29" s="4" t="str">
        <f t="shared" si="16"/>
        <v>FY21</v>
      </c>
      <c r="G29" s="4" t="str">
        <f t="shared" si="16"/>
        <v>FY22</v>
      </c>
      <c r="H29" s="4" t="str">
        <f t="shared" ref="H29:I29" si="17">H1</f>
        <v>FY23</v>
      </c>
      <c r="I29" s="4" t="str">
        <f t="shared" si="17"/>
        <v>FY24</v>
      </c>
      <c r="J29" s="4"/>
      <c r="N29" s="4" t="str">
        <f t="shared" ref="N29:AE29" si="18">N1</f>
        <v>Q1FY21</v>
      </c>
      <c r="O29" s="4" t="str">
        <f t="shared" si="18"/>
        <v>Q2FY21</v>
      </c>
      <c r="P29" s="34" t="str">
        <f t="shared" si="18"/>
        <v>Q3FY21</v>
      </c>
      <c r="Q29" s="4" t="str">
        <f t="shared" si="18"/>
        <v>Q4FY21</v>
      </c>
      <c r="R29" s="4" t="str">
        <f t="shared" si="18"/>
        <v>Q1FY22</v>
      </c>
      <c r="S29" s="34" t="str">
        <f t="shared" si="18"/>
        <v>Q2FY22</v>
      </c>
      <c r="T29" s="34" t="str">
        <f>T1</f>
        <v>Q3FY22</v>
      </c>
      <c r="U29" s="34" t="str">
        <f t="shared" si="18"/>
        <v>Q4FY22</v>
      </c>
      <c r="V29" s="34" t="str">
        <f t="shared" ref="V29:W29" si="19">V1</f>
        <v>Q1FY23</v>
      </c>
      <c r="W29" s="34" t="str">
        <f t="shared" si="19"/>
        <v>Q2FY23</v>
      </c>
      <c r="X29" s="34" t="str">
        <f t="shared" ref="X29:Y29" si="20">X1</f>
        <v>Q3FY23</v>
      </c>
      <c r="Y29" s="34" t="str">
        <f t="shared" si="20"/>
        <v>Q4FY23</v>
      </c>
      <c r="Z29" s="34" t="str">
        <f t="shared" ref="Z29:AA29" si="21">Z1</f>
        <v>Q1FY24</v>
      </c>
      <c r="AA29" s="34" t="str">
        <f t="shared" si="21"/>
        <v>Q2FY24</v>
      </c>
      <c r="AB29" s="34" t="str">
        <f t="shared" ref="AB29:AC29" si="22">AB1</f>
        <v>Q3FY24</v>
      </c>
      <c r="AC29" s="34" t="str">
        <f t="shared" si="22"/>
        <v>Q4FY24</v>
      </c>
      <c r="AD29" s="4" t="str">
        <f t="shared" si="18"/>
        <v>y-o-y</v>
      </c>
      <c r="AE29" s="4" t="str">
        <f t="shared" si="18"/>
        <v>q-o-q</v>
      </c>
      <c r="AF29" s="4"/>
    </row>
    <row r="30" spans="1:34" x14ac:dyDescent="0.35">
      <c r="A30" s="1" t="s">
        <v>49</v>
      </c>
      <c r="B30" s="11">
        <v>3.4000000000000002E-2</v>
      </c>
      <c r="C30" s="11">
        <v>3.0980000000000001E-2</v>
      </c>
      <c r="D30" s="11">
        <v>3.15E-2</v>
      </c>
      <c r="E30" s="11">
        <v>4.3799999999999999E-2</v>
      </c>
      <c r="F30" s="11">
        <v>6.2199999999999998E-2</v>
      </c>
      <c r="G30" s="11">
        <f>U30</f>
        <v>5.28E-2</v>
      </c>
      <c r="H30" s="11">
        <f>Y30</f>
        <v>3.9699999999999999E-2</v>
      </c>
      <c r="I30" s="11">
        <f>AC30</f>
        <v>4.1700000000000001E-2</v>
      </c>
      <c r="J30" s="11"/>
      <c r="N30" s="11">
        <v>0.02</v>
      </c>
      <c r="O30" s="11">
        <v>6.7000000000000004E-2</v>
      </c>
      <c r="P30" s="11">
        <v>7.4999999999999997E-2</v>
      </c>
      <c r="Q30" s="11">
        <v>6.2E-2</v>
      </c>
      <c r="R30" s="11">
        <v>8.8999999999999996E-2</v>
      </c>
      <c r="S30" s="11">
        <v>7.5999999999999998E-2</v>
      </c>
      <c r="T30" s="11">
        <v>6.5000000000000002E-2</v>
      </c>
      <c r="U30" s="11">
        <v>5.28E-2</v>
      </c>
      <c r="V30" s="11">
        <v>4.9700000000000001E-2</v>
      </c>
      <c r="W30" s="11">
        <v>4.7480000000000001E-2</v>
      </c>
      <c r="X30" s="11">
        <v>4.41E-2</v>
      </c>
      <c r="Y30" s="11">
        <v>3.9699999999999999E-2</v>
      </c>
      <c r="Z30" s="11">
        <v>4.2900000000000001E-2</v>
      </c>
      <c r="AA30" s="11">
        <v>4.4999999999999998E-2</v>
      </c>
      <c r="AB30" s="11">
        <v>4.5199999999999997E-2</v>
      </c>
      <c r="AC30" s="11">
        <v>4.1700000000000001E-2</v>
      </c>
    </row>
    <row r="31" spans="1:34" s="2" customFormat="1" x14ac:dyDescent="0.35">
      <c r="B31" s="4"/>
      <c r="C31" s="4"/>
      <c r="D31" s="4"/>
      <c r="E31" s="4"/>
      <c r="F31" s="4"/>
      <c r="G31" s="4"/>
      <c r="H31" s="4"/>
      <c r="I31" s="4"/>
      <c r="J31" s="4"/>
      <c r="N31" s="4"/>
      <c r="O31" s="4"/>
      <c r="P31" s="34"/>
      <c r="Q31" s="4"/>
      <c r="R31" s="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70"/>
      <c r="AE31" s="70"/>
      <c r="AF31" s="70"/>
    </row>
    <row r="32" spans="1:34" x14ac:dyDescent="0.35">
      <c r="A32" s="1" t="s">
        <v>50</v>
      </c>
      <c r="B32" s="26">
        <v>161.05000000000001</v>
      </c>
      <c r="C32" s="26">
        <v>182.47</v>
      </c>
      <c r="D32" s="26">
        <v>364.12000000000006</v>
      </c>
      <c r="E32" s="26">
        <v>596.68000000000006</v>
      </c>
      <c r="F32" s="26">
        <v>1394.9959999999999</v>
      </c>
      <c r="G32" s="26">
        <f>U32</f>
        <v>1588.68</v>
      </c>
      <c r="H32" s="26">
        <f>Y32</f>
        <v>1630.44</v>
      </c>
      <c r="I32" s="26">
        <f>AC32</f>
        <v>2309.23</v>
      </c>
      <c r="J32" s="26"/>
      <c r="K32" s="2"/>
      <c r="L32" s="2"/>
      <c r="N32" s="26">
        <v>419.79</v>
      </c>
      <c r="O32" s="26">
        <v>402.67</v>
      </c>
      <c r="P32" s="26">
        <v>1331.96</v>
      </c>
      <c r="Q32" s="26">
        <f>F32</f>
        <v>1394.9959999999999</v>
      </c>
      <c r="R32" s="35">
        <v>1986.22</v>
      </c>
      <c r="S32" s="35">
        <v>1917.16</v>
      </c>
      <c r="T32" s="35">
        <v>1893.88</v>
      </c>
      <c r="U32" s="35">
        <v>1588.68</v>
      </c>
      <c r="V32" s="35">
        <v>1676.81</v>
      </c>
      <c r="W32" s="35">
        <v>1691.5450000000001</v>
      </c>
      <c r="X32" s="35">
        <v>1677.29</v>
      </c>
      <c r="Y32" s="35">
        <v>1630.44</v>
      </c>
      <c r="Z32" s="35">
        <v>1918.97</v>
      </c>
      <c r="AA32" s="35">
        <v>2065.3000000000002</v>
      </c>
      <c r="AB32" s="35">
        <v>2278.9</v>
      </c>
      <c r="AC32" s="35">
        <v>2309.23</v>
      </c>
      <c r="AD32" s="69">
        <f>IFERROR(AC32/Y32-1,"")</f>
        <v>0.41632320109908982</v>
      </c>
      <c r="AE32" s="69">
        <f>IFERROR(AC32/AB32-1,"")</f>
        <v>1.3309052613102779E-2</v>
      </c>
      <c r="AF32" s="69"/>
      <c r="AH32" s="111"/>
    </row>
    <row r="33" spans="1:34" x14ac:dyDescent="0.35">
      <c r="A33" s="1" t="s">
        <v>7</v>
      </c>
      <c r="B33" s="11">
        <f t="shared" ref="B33:G33" si="23">B32/B6</f>
        <v>2.0311591543416108E-2</v>
      </c>
      <c r="C33" s="11">
        <f t="shared" si="23"/>
        <v>1.3882284737855568E-2</v>
      </c>
      <c r="D33" s="11">
        <f t="shared" si="23"/>
        <v>1.6962053856337759E-2</v>
      </c>
      <c r="E33" s="11">
        <f t="shared" si="23"/>
        <v>1.9623371241769876E-2</v>
      </c>
      <c r="F33" s="11">
        <f t="shared" si="23"/>
        <v>4.1372466559384632E-2</v>
      </c>
      <c r="G33" s="11">
        <f t="shared" si="23"/>
        <v>3.6508655833966827E-2</v>
      </c>
      <c r="H33" s="11">
        <f>H32/H6</f>
        <v>2.6939972459246522E-2</v>
      </c>
      <c r="I33" s="11">
        <f>I32/I6</f>
        <v>2.8118056801097531E-2</v>
      </c>
      <c r="J33" s="11"/>
      <c r="K33" s="2"/>
      <c r="L33" s="2"/>
      <c r="N33" s="57">
        <f t="shared" ref="N33:U33" si="24">N32/N6</f>
        <v>1.4475222745468282E-2</v>
      </c>
      <c r="O33" s="23">
        <f t="shared" si="24"/>
        <v>1.3368604910199243E-2</v>
      </c>
      <c r="P33" s="23">
        <f t="shared" si="24"/>
        <v>4.0958726502226733E-2</v>
      </c>
      <c r="Q33" s="11">
        <f t="shared" si="24"/>
        <v>4.1372466559384632E-2</v>
      </c>
      <c r="R33" s="11">
        <f t="shared" si="24"/>
        <v>5.7720446031403284E-2</v>
      </c>
      <c r="S33" s="11">
        <f t="shared" si="24"/>
        <v>5.2013517502430898E-2</v>
      </c>
      <c r="T33" s="11">
        <f>T32/T6</f>
        <v>4.7342242104668489E-2</v>
      </c>
      <c r="U33" s="11">
        <f t="shared" si="24"/>
        <v>3.6508655833966827E-2</v>
      </c>
      <c r="V33" s="11">
        <f t="shared" ref="V33:W33" si="25">V32/V6</f>
        <v>3.5169720997213369E-2</v>
      </c>
      <c r="W33" s="11">
        <f t="shared" si="25"/>
        <v>3.2560468658086254E-2</v>
      </c>
      <c r="X33" s="11">
        <f t="shared" ref="X33:AB33" si="26">X32/X6</f>
        <v>2.9696535118004283E-2</v>
      </c>
      <c r="Y33" s="11">
        <f t="shared" si="26"/>
        <v>2.6939972459246522E-2</v>
      </c>
      <c r="Z33" s="11">
        <f t="shared" si="26"/>
        <v>2.9166355087913848E-2</v>
      </c>
      <c r="AA33" s="11">
        <f t="shared" si="26"/>
        <v>2.9135932605186602E-2</v>
      </c>
      <c r="AB33" s="11">
        <f t="shared" si="26"/>
        <v>2.9929428328087686E-2</v>
      </c>
      <c r="AC33" s="11">
        <f>AC32/AC6</f>
        <v>2.8118056801097531E-2</v>
      </c>
      <c r="AG33" s="130"/>
      <c r="AH33" s="117"/>
    </row>
    <row r="34" spans="1:34" x14ac:dyDescent="0.35">
      <c r="U34" s="77"/>
      <c r="V34" s="77"/>
      <c r="W34" s="77"/>
      <c r="X34" s="77"/>
      <c r="Y34" s="77"/>
      <c r="Z34" s="77"/>
      <c r="AA34" s="77"/>
      <c r="AB34" s="77"/>
      <c r="AC34" s="77"/>
    </row>
    <row r="35" spans="1:34" x14ac:dyDescent="0.35">
      <c r="A35" s="1" t="s">
        <v>234</v>
      </c>
      <c r="B35" s="26"/>
      <c r="C35" s="26"/>
      <c r="D35" s="26"/>
      <c r="E35" s="26"/>
      <c r="F35" s="26"/>
      <c r="G35" s="26">
        <f>U35</f>
        <v>571.17999999999995</v>
      </c>
      <c r="H35" s="26">
        <f>Y35</f>
        <v>552.58000000000004</v>
      </c>
      <c r="I35" s="26">
        <f>AC35</f>
        <v>936.78</v>
      </c>
      <c r="J35" s="26"/>
      <c r="K35" s="2"/>
      <c r="L35" s="2"/>
      <c r="N35" s="26"/>
      <c r="O35" s="26"/>
      <c r="P35" s="26"/>
      <c r="Q35" s="26"/>
      <c r="R35" s="35"/>
      <c r="S35" s="35"/>
      <c r="T35" s="35">
        <v>684.4</v>
      </c>
      <c r="U35" s="35">
        <v>571.17999999999995</v>
      </c>
      <c r="V35" s="35">
        <v>576.41</v>
      </c>
      <c r="W35" s="35">
        <v>558.72</v>
      </c>
      <c r="X35" s="35">
        <v>617.61</v>
      </c>
      <c r="Y35" s="35">
        <v>552.58000000000004</v>
      </c>
      <c r="Z35" s="35">
        <v>677.77</v>
      </c>
      <c r="AA35" s="35">
        <v>762.99</v>
      </c>
      <c r="AB35" s="35">
        <v>859.82</v>
      </c>
      <c r="AC35" s="35">
        <v>936.78</v>
      </c>
      <c r="AD35" s="69">
        <f>IFERROR(AC35/Y35-1,"")</f>
        <v>0.69528394078685429</v>
      </c>
      <c r="AE35" s="69">
        <f>IFERROR(AC35/AB35-1,"")</f>
        <v>8.9507106138493997E-2</v>
      </c>
      <c r="AF35" s="69"/>
      <c r="AG35" s="119"/>
      <c r="AH35" s="111"/>
    </row>
    <row r="36" spans="1:34" x14ac:dyDescent="0.35">
      <c r="A36" s="1" t="s">
        <v>235</v>
      </c>
      <c r="B36" s="11"/>
      <c r="C36" s="11"/>
      <c r="D36" s="11"/>
      <c r="E36" s="11"/>
      <c r="F36" s="11"/>
      <c r="G36" s="11">
        <f>G35/G6</f>
        <v>1.3126000226128087E-2</v>
      </c>
      <c r="H36" s="11">
        <f>H35/H6</f>
        <v>9.1303513048811638E-3</v>
      </c>
      <c r="I36" s="11">
        <f>I35/I6</f>
        <v>1.1406587152484658E-2</v>
      </c>
      <c r="J36" s="11"/>
      <c r="K36" s="2"/>
      <c r="L36" s="2"/>
      <c r="N36" s="57"/>
      <c r="O36" s="23"/>
      <c r="P36" s="23"/>
      <c r="Q36" s="11"/>
      <c r="R36" s="11"/>
      <c r="S36" s="11"/>
      <c r="T36" s="11">
        <f t="shared" ref="T36:Y36" si="27">T35/T6</f>
        <v>1.7108280617797914E-2</v>
      </c>
      <c r="U36" s="11">
        <f t="shared" si="27"/>
        <v>1.3126000226128087E-2</v>
      </c>
      <c r="V36" s="11">
        <f t="shared" si="27"/>
        <v>1.2089729235872732E-2</v>
      </c>
      <c r="W36" s="11">
        <f t="shared" si="27"/>
        <v>1.0754774510075673E-2</v>
      </c>
      <c r="X36" s="11">
        <f t="shared" si="27"/>
        <v>1.0934827641153663E-2</v>
      </c>
      <c r="Y36" s="11">
        <f t="shared" si="27"/>
        <v>9.1303513048811638E-3</v>
      </c>
      <c r="Z36" s="11">
        <f>Z35/Z6</f>
        <v>1.0301401526827084E-2</v>
      </c>
      <c r="AA36" s="11">
        <f>AA35/AA6</f>
        <v>1.0763775344226663E-2</v>
      </c>
      <c r="AB36" s="11">
        <f>AB35/AB6</f>
        <v>1.1292255502679519E-2</v>
      </c>
      <c r="AC36" s="11">
        <f>AC35/AC6</f>
        <v>1.1406587152484658E-2</v>
      </c>
      <c r="AG36" s="118"/>
      <c r="AH36" s="117"/>
    </row>
    <row r="37" spans="1:34" x14ac:dyDescent="0.35">
      <c r="B37" s="26"/>
      <c r="C37" s="26"/>
      <c r="D37" s="26"/>
      <c r="E37" s="26"/>
      <c r="F37" s="26"/>
      <c r="G37" s="26"/>
      <c r="H37" s="26"/>
      <c r="I37" s="26"/>
      <c r="J37" s="26"/>
      <c r="K37" s="2"/>
      <c r="L37" s="2"/>
      <c r="N37" s="26"/>
      <c r="O37" s="26"/>
      <c r="P37" s="26"/>
      <c r="Q37" s="26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69"/>
      <c r="AE37" s="69"/>
      <c r="AF37" s="69"/>
      <c r="AH37" s="111"/>
    </row>
    <row r="38" spans="1:34" x14ac:dyDescent="0.35">
      <c r="A38" s="1" t="s">
        <v>122</v>
      </c>
      <c r="B38" s="26">
        <v>57.24</v>
      </c>
      <c r="C38" s="26">
        <v>80.679999999999993</v>
      </c>
      <c r="D38" s="26">
        <v>170.45000000000002</v>
      </c>
      <c r="E38" s="26">
        <v>315.36</v>
      </c>
      <c r="F38" s="26">
        <v>621.66000000000008</v>
      </c>
      <c r="G38" s="26">
        <f>U38</f>
        <v>1015.23</v>
      </c>
      <c r="H38" s="26">
        <f t="shared" ref="H38:H39" si="28">Y38</f>
        <v>973.91</v>
      </c>
      <c r="I38" s="26">
        <f>AC38</f>
        <v>1393.39</v>
      </c>
      <c r="J38" s="26"/>
      <c r="N38" s="26">
        <v>275.32</v>
      </c>
      <c r="O38" s="26">
        <v>275.79000000000002</v>
      </c>
      <c r="P38" s="26">
        <v>510.7</v>
      </c>
      <c r="Q38" s="26">
        <v>621.66</v>
      </c>
      <c r="R38" s="26">
        <v>665.55</v>
      </c>
      <c r="S38" s="26">
        <v>640.4</v>
      </c>
      <c r="T38" s="107">
        <v>1023.6</v>
      </c>
      <c r="U38" s="107">
        <v>1015.23</v>
      </c>
      <c r="V38" s="107">
        <v>1020.03</v>
      </c>
      <c r="W38" s="107">
        <v>1001.11</v>
      </c>
      <c r="X38" s="107">
        <v>1007.89</v>
      </c>
      <c r="Y38" s="107">
        <v>973.91</v>
      </c>
      <c r="Z38" s="107">
        <v>1077.32</v>
      </c>
      <c r="AA38" s="107">
        <v>1233.3900000000001</v>
      </c>
      <c r="AB38" s="107">
        <v>1295.3499999999999</v>
      </c>
      <c r="AC38" s="107">
        <v>1393.39</v>
      </c>
      <c r="AD38" s="69">
        <f>IFERROR(AC38/Y38-1,"")</f>
        <v>0.43071741742050107</v>
      </c>
      <c r="AE38" s="69">
        <f>IFERROR(AC38/AB38-1,"")</f>
        <v>7.5686108001698615E-2</v>
      </c>
      <c r="AF38" s="69"/>
      <c r="AG38" s="119"/>
    </row>
    <row r="39" spans="1:34" x14ac:dyDescent="0.35">
      <c r="A39" s="1" t="s">
        <v>123</v>
      </c>
      <c r="B39" s="26">
        <v>9.5299999999999994</v>
      </c>
      <c r="C39" s="26">
        <v>16.5</v>
      </c>
      <c r="D39" s="26">
        <v>42.4</v>
      </c>
      <c r="E39" s="26">
        <v>81.22</v>
      </c>
      <c r="F39" s="26">
        <v>223.54</v>
      </c>
      <c r="G39" s="26">
        <f>U39</f>
        <v>252.51</v>
      </c>
      <c r="H39" s="26">
        <f t="shared" si="28"/>
        <v>330.7</v>
      </c>
      <c r="I39" s="26">
        <f>AC39</f>
        <v>414.44</v>
      </c>
      <c r="J39" s="26"/>
      <c r="N39" s="26">
        <v>72.02</v>
      </c>
      <c r="O39" s="26">
        <v>89.4</v>
      </c>
      <c r="P39" s="26">
        <v>146.05000000000001</v>
      </c>
      <c r="Q39" s="26">
        <v>223.54</v>
      </c>
      <c r="R39" s="26">
        <v>174.32</v>
      </c>
      <c r="S39" s="26">
        <v>189.63</v>
      </c>
      <c r="T39" s="26">
        <v>232.04</v>
      </c>
      <c r="U39" s="26">
        <v>252.51</v>
      </c>
      <c r="V39" s="26">
        <v>228.76</v>
      </c>
      <c r="W39" s="26">
        <v>264.5</v>
      </c>
      <c r="X39" s="26">
        <v>293.06</v>
      </c>
      <c r="Y39" s="26">
        <v>330.7</v>
      </c>
      <c r="Z39" s="26">
        <v>334.28</v>
      </c>
      <c r="AA39" s="26">
        <v>374.23</v>
      </c>
      <c r="AB39" s="26">
        <v>387.56</v>
      </c>
      <c r="AC39" s="26">
        <v>414.44</v>
      </c>
      <c r="AD39" s="69">
        <f>IFERROR(AC39/Y39-1,"")</f>
        <v>0.25322044148775325</v>
      </c>
      <c r="AE39" s="69">
        <f>IFERROR(AC39/AB39-1,"")</f>
        <v>6.9357002786665234E-2</v>
      </c>
      <c r="AF39" s="69"/>
    </row>
    <row r="40" spans="1:34" s="2" customFormat="1" x14ac:dyDescent="0.35">
      <c r="A40" s="2" t="s">
        <v>83</v>
      </c>
      <c r="B40" s="4">
        <f t="shared" ref="B40:G40" si="29">B38-B39</f>
        <v>47.71</v>
      </c>
      <c r="C40" s="4">
        <f t="shared" si="29"/>
        <v>64.179999999999993</v>
      </c>
      <c r="D40" s="4">
        <f t="shared" si="29"/>
        <v>128.05000000000001</v>
      </c>
      <c r="E40" s="4">
        <f t="shared" si="29"/>
        <v>234.14000000000001</v>
      </c>
      <c r="F40" s="4">
        <f t="shared" si="29"/>
        <v>398.12000000000012</v>
      </c>
      <c r="G40" s="4">
        <f t="shared" si="29"/>
        <v>762.72</v>
      </c>
      <c r="H40" s="4">
        <f>H38-H39</f>
        <v>643.21</v>
      </c>
      <c r="I40" s="4">
        <f>I38-I39</f>
        <v>978.95</v>
      </c>
      <c r="J40" s="4"/>
      <c r="N40" s="4">
        <f t="shared" ref="N40:U40" si="30">N38-N39</f>
        <v>203.3</v>
      </c>
      <c r="O40" s="4">
        <f t="shared" si="30"/>
        <v>186.39000000000001</v>
      </c>
      <c r="P40" s="4">
        <f t="shared" si="30"/>
        <v>364.65</v>
      </c>
      <c r="Q40" s="4">
        <f t="shared" si="30"/>
        <v>398.12</v>
      </c>
      <c r="R40" s="4">
        <f t="shared" si="30"/>
        <v>491.22999999999996</v>
      </c>
      <c r="S40" s="4">
        <f t="shared" si="30"/>
        <v>450.77</v>
      </c>
      <c r="T40" s="4">
        <f>T38-T39</f>
        <v>791.56000000000006</v>
      </c>
      <c r="U40" s="4">
        <f t="shared" si="30"/>
        <v>762.72</v>
      </c>
      <c r="V40" s="4">
        <f t="shared" ref="V40:W40" si="31">V38-V39</f>
        <v>791.27</v>
      </c>
      <c r="W40" s="4">
        <f t="shared" si="31"/>
        <v>736.61</v>
      </c>
      <c r="X40" s="4">
        <f t="shared" ref="X40:AC40" si="32">X38-X39</f>
        <v>714.82999999999993</v>
      </c>
      <c r="Y40" s="4">
        <f t="shared" si="32"/>
        <v>643.21</v>
      </c>
      <c r="Z40" s="4">
        <f t="shared" si="32"/>
        <v>743.04</v>
      </c>
      <c r="AA40" s="4">
        <f t="shared" si="32"/>
        <v>859.16000000000008</v>
      </c>
      <c r="AB40" s="4">
        <f t="shared" si="32"/>
        <v>907.79</v>
      </c>
      <c r="AC40" s="4">
        <f t="shared" si="32"/>
        <v>978.95</v>
      </c>
      <c r="AD40" s="71">
        <f>IFERROR(AC40/Y40-1,"")</f>
        <v>0.52197571555168598</v>
      </c>
      <c r="AE40" s="71">
        <f>IFERROR(AC40/AB40-1,"")</f>
        <v>7.8388173476244605E-2</v>
      </c>
      <c r="AF40" s="71"/>
    </row>
    <row r="41" spans="1:34" x14ac:dyDescent="0.35">
      <c r="A41" s="1" t="s">
        <v>248</v>
      </c>
      <c r="B41" s="26">
        <v>35.85</v>
      </c>
      <c r="C41" s="26">
        <v>56.74</v>
      </c>
      <c r="D41" s="26">
        <v>119.69</v>
      </c>
      <c r="E41" s="26">
        <v>267.45999999999998</v>
      </c>
      <c r="F41" s="26">
        <v>452.98</v>
      </c>
      <c r="G41" s="26">
        <f>U41</f>
        <v>466.5</v>
      </c>
      <c r="H41" s="26">
        <f>Y41</f>
        <v>564.22</v>
      </c>
      <c r="I41" s="26">
        <f>AC41</f>
        <v>691.85</v>
      </c>
      <c r="J41" s="26"/>
      <c r="N41" s="26">
        <v>306.88</v>
      </c>
      <c r="O41" s="26">
        <v>398.93</v>
      </c>
      <c r="P41" s="26">
        <v>452.25</v>
      </c>
      <c r="Q41" s="26">
        <f>F41</f>
        <v>452.98</v>
      </c>
      <c r="R41" s="26">
        <v>459.67</v>
      </c>
      <c r="S41" s="26">
        <v>486.95</v>
      </c>
      <c r="T41" s="26">
        <v>464.17</v>
      </c>
      <c r="U41" s="26">
        <v>466.5</v>
      </c>
      <c r="V41" s="26">
        <v>455.33</v>
      </c>
      <c r="W41" s="26">
        <v>496.48</v>
      </c>
      <c r="X41" s="26">
        <v>526.13</v>
      </c>
      <c r="Y41" s="26">
        <v>564.22</v>
      </c>
      <c r="Z41" s="26">
        <v>599.66</v>
      </c>
      <c r="AA41" s="26">
        <v>631.70000000000005</v>
      </c>
      <c r="AB41" s="26">
        <v>663.99</v>
      </c>
      <c r="AC41" s="26">
        <v>691.85</v>
      </c>
      <c r="AD41" s="69">
        <f>IFERROR(AC41/Y41-1,"")</f>
        <v>0.22620608982311863</v>
      </c>
      <c r="AE41" s="69">
        <f>IFERROR(AC41/AB41-1,"")</f>
        <v>4.1958463229867959E-2</v>
      </c>
      <c r="AF41" s="69"/>
    </row>
    <row r="42" spans="1:34" s="2" customFormat="1" x14ac:dyDescent="0.35">
      <c r="A42" s="2" t="s">
        <v>152</v>
      </c>
      <c r="B42" s="4">
        <f t="shared" ref="B42:H42" si="33">B6-B41</f>
        <v>7893.12</v>
      </c>
      <c r="C42" s="4">
        <f t="shared" si="33"/>
        <v>13087.35</v>
      </c>
      <c r="D42" s="4">
        <f t="shared" si="33"/>
        <v>21347.050000000003</v>
      </c>
      <c r="E42" s="4">
        <f t="shared" si="33"/>
        <v>30139.140000000007</v>
      </c>
      <c r="F42" s="4">
        <f t="shared" si="33"/>
        <v>33265</v>
      </c>
      <c r="G42" s="4">
        <f t="shared" si="33"/>
        <v>43048.66</v>
      </c>
      <c r="H42" s="4">
        <f t="shared" si="33"/>
        <v>59957.000000000007</v>
      </c>
      <c r="I42" s="4">
        <f t="shared" ref="I42" si="34">I6-I41</f>
        <v>81434.37999999999</v>
      </c>
      <c r="J42" s="4"/>
      <c r="N42" s="4">
        <f t="shared" ref="N42:Z42" si="35">N6-N41</f>
        <v>28693.71</v>
      </c>
      <c r="O42" s="4">
        <f t="shared" si="35"/>
        <v>29721.64</v>
      </c>
      <c r="P42" s="4">
        <f t="shared" si="35"/>
        <v>32067.315761586546</v>
      </c>
      <c r="Q42" s="4">
        <f t="shared" si="35"/>
        <v>33265</v>
      </c>
      <c r="R42" s="4">
        <f t="shared" si="35"/>
        <v>33951.360000000015</v>
      </c>
      <c r="S42" s="4">
        <f t="shared" si="35"/>
        <v>36371.93</v>
      </c>
      <c r="T42" s="4">
        <f t="shared" si="35"/>
        <v>39539.85</v>
      </c>
      <c r="U42" s="4">
        <f t="shared" si="35"/>
        <v>43048.66</v>
      </c>
      <c r="V42" s="4">
        <f t="shared" si="35"/>
        <v>47222.33</v>
      </c>
      <c r="W42" s="4">
        <f t="shared" si="35"/>
        <v>51454.399999999994</v>
      </c>
      <c r="X42" s="4">
        <f t="shared" si="35"/>
        <v>55954.87</v>
      </c>
      <c r="Y42" s="4">
        <f t="shared" si="35"/>
        <v>59957.000000000007</v>
      </c>
      <c r="Z42" s="4">
        <f t="shared" si="35"/>
        <v>65194.299999999988</v>
      </c>
      <c r="AA42" s="4">
        <f t="shared" ref="AA42:AB42" si="36">AA6-AA41</f>
        <v>70253.279999999999</v>
      </c>
      <c r="AB42" s="4">
        <f t="shared" si="36"/>
        <v>75478.459999999992</v>
      </c>
      <c r="AC42" s="4">
        <f t="shared" ref="AC42" si="37">AC6-AC41</f>
        <v>81434.37999999999</v>
      </c>
      <c r="AD42" s="71">
        <f>IFERROR(AC42/Y42-1,"")</f>
        <v>0.35821305268775916</v>
      </c>
      <c r="AE42" s="71">
        <f>IFERROR(AC42/AB42-1,"")</f>
        <v>7.8908870159777988E-2</v>
      </c>
      <c r="AF42" s="71"/>
    </row>
    <row r="43" spans="1:34" s="2" customFormat="1" x14ac:dyDescent="0.35">
      <c r="B43" s="4"/>
      <c r="C43" s="4"/>
      <c r="D43" s="4"/>
      <c r="E43" s="4"/>
      <c r="F43" s="4"/>
      <c r="G43" s="4"/>
      <c r="H43" s="4"/>
      <c r="I43" s="4"/>
      <c r="J43" s="4"/>
      <c r="N43" s="4"/>
      <c r="O43" s="4"/>
      <c r="P43" s="34"/>
      <c r="Q43" s="4"/>
      <c r="R43" s="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70"/>
      <c r="AE43" s="70"/>
      <c r="AF43" s="70"/>
    </row>
    <row r="44" spans="1:34" s="2" customFormat="1" x14ac:dyDescent="0.35">
      <c r="A44" s="1" t="s">
        <v>184</v>
      </c>
      <c r="B44" s="46">
        <f t="shared" ref="B44:H44" si="38">B6-B32</f>
        <v>7767.92</v>
      </c>
      <c r="C44" s="46">
        <f t="shared" si="38"/>
        <v>12961.62</v>
      </c>
      <c r="D44" s="46">
        <f t="shared" si="38"/>
        <v>21102.620000000003</v>
      </c>
      <c r="E44" s="46">
        <f t="shared" si="38"/>
        <v>29809.920000000006</v>
      </c>
      <c r="F44" s="46">
        <f t="shared" si="38"/>
        <v>32322.984000000004</v>
      </c>
      <c r="G44" s="46">
        <f t="shared" si="38"/>
        <v>41926.480000000003</v>
      </c>
      <c r="H44" s="46">
        <f t="shared" si="38"/>
        <v>58890.780000000006</v>
      </c>
      <c r="I44" s="46">
        <f t="shared" ref="I44" si="39">I6-I32</f>
        <v>79817</v>
      </c>
      <c r="J44" s="46"/>
      <c r="N44" s="46">
        <f t="shared" ref="N44:Z44" si="40">N6-N32</f>
        <v>28580.799999999999</v>
      </c>
      <c r="O44" s="46">
        <f t="shared" si="40"/>
        <v>29717.9</v>
      </c>
      <c r="P44" s="46">
        <f t="shared" si="40"/>
        <v>31187.605761586547</v>
      </c>
      <c r="Q44" s="46">
        <f t="shared" si="40"/>
        <v>32322.984000000004</v>
      </c>
      <c r="R44" s="46">
        <f t="shared" si="40"/>
        <v>32424.810000000012</v>
      </c>
      <c r="S44" s="46">
        <f t="shared" si="40"/>
        <v>34941.719999999994</v>
      </c>
      <c r="T44" s="46">
        <f t="shared" si="40"/>
        <v>38110.14</v>
      </c>
      <c r="U44" s="46">
        <f t="shared" si="40"/>
        <v>41926.480000000003</v>
      </c>
      <c r="V44" s="46">
        <f t="shared" si="40"/>
        <v>46000.850000000006</v>
      </c>
      <c r="W44" s="46">
        <f t="shared" si="40"/>
        <v>50259.334999999999</v>
      </c>
      <c r="X44" s="46">
        <f t="shared" si="40"/>
        <v>54803.71</v>
      </c>
      <c r="Y44" s="46">
        <f t="shared" si="40"/>
        <v>58890.780000000006</v>
      </c>
      <c r="Z44" s="46">
        <f t="shared" si="40"/>
        <v>63874.989999999991</v>
      </c>
      <c r="AA44" s="46">
        <f t="shared" ref="AA44:AB44" si="41">AA6-AA32</f>
        <v>68819.679999999993</v>
      </c>
      <c r="AB44" s="46">
        <f t="shared" si="41"/>
        <v>73863.55</v>
      </c>
      <c r="AC44" s="46">
        <f t="shared" ref="AC44" si="42">AC6-AC32</f>
        <v>79817</v>
      </c>
      <c r="AD44" s="69">
        <f>IFERROR(AC44/Y44-1,"")</f>
        <v>0.35533949456943836</v>
      </c>
      <c r="AE44" s="69">
        <f>IFERROR(AC44/AB44-1,"")</f>
        <v>8.0600648086911475E-2</v>
      </c>
      <c r="AF44" s="71"/>
    </row>
    <row r="45" spans="1:34" s="2" customFormat="1" x14ac:dyDescent="0.35">
      <c r="A45" s="1" t="s">
        <v>185</v>
      </c>
      <c r="B45" s="46">
        <f t="shared" ref="B45:H45" si="43">B32-B38</f>
        <v>103.81</v>
      </c>
      <c r="C45" s="46">
        <f t="shared" si="43"/>
        <v>101.79</v>
      </c>
      <c r="D45" s="46">
        <f t="shared" si="43"/>
        <v>193.67000000000004</v>
      </c>
      <c r="E45" s="46">
        <f t="shared" si="43"/>
        <v>281.32000000000005</v>
      </c>
      <c r="F45" s="46">
        <f t="shared" si="43"/>
        <v>773.33599999999979</v>
      </c>
      <c r="G45" s="46">
        <f t="shared" si="43"/>
        <v>573.45000000000005</v>
      </c>
      <c r="H45" s="46">
        <f t="shared" si="43"/>
        <v>656.53000000000009</v>
      </c>
      <c r="I45" s="46">
        <f t="shared" ref="I45" si="44">I32-I38</f>
        <v>915.83999999999992</v>
      </c>
      <c r="J45" s="46"/>
      <c r="N45" s="46">
        <f t="shared" ref="N45:Z45" si="45">N32-N38</f>
        <v>144.47000000000003</v>
      </c>
      <c r="O45" s="46">
        <f t="shared" si="45"/>
        <v>126.88</v>
      </c>
      <c r="P45" s="46">
        <f t="shared" si="45"/>
        <v>821.26</v>
      </c>
      <c r="Q45" s="46">
        <f t="shared" si="45"/>
        <v>773.3359999999999</v>
      </c>
      <c r="R45" s="46">
        <f t="shared" si="45"/>
        <v>1320.67</v>
      </c>
      <c r="S45" s="46">
        <f t="shared" si="45"/>
        <v>1276.7600000000002</v>
      </c>
      <c r="T45" s="46">
        <f t="shared" si="45"/>
        <v>870.28000000000009</v>
      </c>
      <c r="U45" s="46">
        <f t="shared" si="45"/>
        <v>573.45000000000005</v>
      </c>
      <c r="V45" s="46">
        <f t="shared" si="45"/>
        <v>656.78</v>
      </c>
      <c r="W45" s="46">
        <f t="shared" si="45"/>
        <v>690.43500000000006</v>
      </c>
      <c r="X45" s="46">
        <f t="shared" si="45"/>
        <v>669.4</v>
      </c>
      <c r="Y45" s="46">
        <f t="shared" si="45"/>
        <v>656.53000000000009</v>
      </c>
      <c r="Z45" s="46">
        <f t="shared" si="45"/>
        <v>841.65000000000009</v>
      </c>
      <c r="AA45" s="46">
        <f t="shared" ref="AA45:AB45" si="46">AA32-AA38</f>
        <v>831.91000000000008</v>
      </c>
      <c r="AB45" s="46">
        <f t="shared" si="46"/>
        <v>983.55000000000018</v>
      </c>
      <c r="AC45" s="46">
        <f t="shared" ref="AC45" si="47">AC32-AC38</f>
        <v>915.83999999999992</v>
      </c>
      <c r="AD45" s="69">
        <f>IFERROR(AC45/Y45-1,"")</f>
        <v>0.39497052686092005</v>
      </c>
      <c r="AE45" s="69">
        <f>IFERROR(AC45/AB45-1,"")</f>
        <v>-6.884245844136061E-2</v>
      </c>
      <c r="AF45" s="71"/>
    </row>
    <row r="46" spans="1:34" s="8" customFormat="1" x14ac:dyDescent="0.35">
      <c r="B46" s="10"/>
      <c r="C46" s="10"/>
      <c r="D46" s="10"/>
      <c r="E46" s="10"/>
      <c r="F46" s="10"/>
      <c r="G46" s="10"/>
      <c r="H46" s="10"/>
      <c r="I46" s="10"/>
      <c r="J46" s="10"/>
      <c r="N46" s="10"/>
      <c r="O46" s="10"/>
      <c r="P46" s="82"/>
      <c r="Q46" s="10"/>
      <c r="R46" s="10"/>
      <c r="S46" s="82"/>
      <c r="T46" s="82"/>
      <c r="U46" s="92"/>
      <c r="V46" s="92"/>
      <c r="W46" s="92"/>
      <c r="X46" s="92"/>
      <c r="Y46" s="92"/>
      <c r="Z46" s="92"/>
      <c r="AA46" s="92"/>
      <c r="AB46" s="92"/>
      <c r="AC46" s="92"/>
      <c r="AD46" s="64"/>
      <c r="AE46" s="64"/>
      <c r="AF46" s="64"/>
    </row>
    <row r="47" spans="1:34" s="8" customFormat="1" x14ac:dyDescent="0.35">
      <c r="A47" s="8" t="s">
        <v>18</v>
      </c>
      <c r="B47" s="28">
        <f t="shared" ref="B47:H47" si="48">B38/B6</f>
        <v>7.2190965535246067E-3</v>
      </c>
      <c r="C47" s="28">
        <f t="shared" si="48"/>
        <v>6.1381198698426433E-3</v>
      </c>
      <c r="D47" s="28">
        <f t="shared" si="48"/>
        <v>7.9401902664307678E-3</v>
      </c>
      <c r="E47" s="28">
        <f t="shared" si="48"/>
        <v>1.0371432517940182E-2</v>
      </c>
      <c r="F47" s="28">
        <f t="shared" si="48"/>
        <v>1.843704753368974E-2</v>
      </c>
      <c r="G47" s="100">
        <f t="shared" si="48"/>
        <v>2.333048987984877E-2</v>
      </c>
      <c r="H47" s="100">
        <f t="shared" si="48"/>
        <v>1.6092041766507678E-2</v>
      </c>
      <c r="I47" s="100">
        <f t="shared" ref="I47" si="49">I38/I6</f>
        <v>1.6966442998783703E-2</v>
      </c>
      <c r="J47" s="28"/>
      <c r="N47" s="87">
        <f t="shared" ref="N47:Y47" si="50">N38/N6</f>
        <v>9.4935999577939623E-3</v>
      </c>
      <c r="O47" s="87">
        <f t="shared" si="50"/>
        <v>9.1562012272676119E-3</v>
      </c>
      <c r="P47" s="87">
        <f t="shared" si="50"/>
        <v>1.5704391742009664E-2</v>
      </c>
      <c r="Q47" s="88">
        <f t="shared" si="50"/>
        <v>1.8437047533689736E-2</v>
      </c>
      <c r="R47" s="88">
        <f t="shared" si="50"/>
        <v>1.9341182173274084E-2</v>
      </c>
      <c r="S47" s="88">
        <f t="shared" si="50"/>
        <v>1.7374374913182385E-2</v>
      </c>
      <c r="T47" s="89">
        <f t="shared" si="50"/>
        <v>2.5587428463439428E-2</v>
      </c>
      <c r="U47" s="89">
        <f t="shared" si="50"/>
        <v>2.333048987984877E-2</v>
      </c>
      <c r="V47" s="89">
        <f t="shared" si="50"/>
        <v>2.1394296616067145E-2</v>
      </c>
      <c r="W47" s="89">
        <f t="shared" si="50"/>
        <v>1.9270318423865007E-2</v>
      </c>
      <c r="X47" s="89">
        <f t="shared" si="50"/>
        <v>1.7844761955347815E-2</v>
      </c>
      <c r="Y47" s="89">
        <f t="shared" si="50"/>
        <v>1.6092041766507678E-2</v>
      </c>
      <c r="Z47" s="89">
        <f>Z38/Z6</f>
        <v>1.6374147414139537E-2</v>
      </c>
      <c r="AA47" s="89">
        <f>AA38/AA6</f>
        <v>1.7399877943112915E-2</v>
      </c>
      <c r="AB47" s="89">
        <f>AB38/AB6</f>
        <v>1.7012192279076913E-2</v>
      </c>
      <c r="AC47" s="89">
        <f>AC38/AC6</f>
        <v>1.6966442998783703E-2</v>
      </c>
      <c r="AD47" s="64"/>
      <c r="AE47" s="64"/>
      <c r="AF47" s="64"/>
      <c r="AG47" s="125"/>
      <c r="AH47" s="125"/>
    </row>
    <row r="48" spans="1:34" s="8" customFormat="1" x14ac:dyDescent="0.35">
      <c r="A48" s="8" t="s">
        <v>155</v>
      </c>
      <c r="B48" s="28">
        <f t="shared" ref="B48:H48" si="51">B40/B42</f>
        <v>6.0445045812048976E-3</v>
      </c>
      <c r="C48" s="28">
        <f t="shared" si="51"/>
        <v>4.903972156318887E-3</v>
      </c>
      <c r="D48" s="28">
        <f t="shared" si="51"/>
        <v>5.9984869103693484E-3</v>
      </c>
      <c r="E48" s="28">
        <f t="shared" si="51"/>
        <v>7.7686357341317626E-3</v>
      </c>
      <c r="F48" s="28">
        <f t="shared" si="51"/>
        <v>1.1968134676085981E-2</v>
      </c>
      <c r="G48" s="100">
        <f t="shared" si="51"/>
        <v>1.771762466009395E-2</v>
      </c>
      <c r="H48" s="100">
        <f t="shared" si="51"/>
        <v>1.0727854962723285E-2</v>
      </c>
      <c r="I48" s="100">
        <f t="shared" ref="I48" si="52">I40/I42</f>
        <v>1.2021335460526625E-2</v>
      </c>
      <c r="J48" s="28"/>
      <c r="N48" s="88">
        <f t="shared" ref="N48:Y48" si="53">N40/N42</f>
        <v>7.0851765073251249E-3</v>
      </c>
      <c r="O48" s="88">
        <f t="shared" si="53"/>
        <v>6.2711882655196692E-3</v>
      </c>
      <c r="P48" s="88">
        <f t="shared" si="53"/>
        <v>1.137139144140073E-2</v>
      </c>
      <c r="Q48" s="88">
        <f t="shared" si="53"/>
        <v>1.1968134676085977E-2</v>
      </c>
      <c r="R48" s="88">
        <f t="shared" si="53"/>
        <v>1.446863984240984E-2</v>
      </c>
      <c r="S48" s="88">
        <f t="shared" si="53"/>
        <v>1.2393348387066619E-2</v>
      </c>
      <c r="T48" s="89">
        <f t="shared" si="53"/>
        <v>2.0019296987722514E-2</v>
      </c>
      <c r="U48" s="89">
        <f t="shared" si="53"/>
        <v>1.771762466009395E-2</v>
      </c>
      <c r="V48" s="89">
        <f t="shared" si="53"/>
        <v>1.6756267638636212E-2</v>
      </c>
      <c r="W48" s="89">
        <f t="shared" si="53"/>
        <v>1.4315782518113128E-2</v>
      </c>
      <c r="X48" s="89">
        <f t="shared" si="53"/>
        <v>1.2775116803952899E-2</v>
      </c>
      <c r="Y48" s="89">
        <f t="shared" si="53"/>
        <v>1.0727854962723285E-2</v>
      </c>
      <c r="Z48" s="89">
        <f>Z40/Z42</f>
        <v>1.1397315409475983E-2</v>
      </c>
      <c r="AA48" s="89">
        <f>AA40/AA42</f>
        <v>1.2229464588699631E-2</v>
      </c>
      <c r="AB48" s="89">
        <f>AB40/AB42</f>
        <v>1.2027139928398116E-2</v>
      </c>
      <c r="AC48" s="89">
        <f>AC40/AC42</f>
        <v>1.2021335460526625E-2</v>
      </c>
      <c r="AD48" s="64"/>
      <c r="AE48" s="64"/>
      <c r="AF48" s="64"/>
      <c r="AG48" s="128"/>
    </row>
    <row r="49" spans="1:34" x14ac:dyDescent="0.35">
      <c r="X49" s="11"/>
      <c r="Y49" s="11"/>
      <c r="Z49" s="11"/>
      <c r="AA49" s="11"/>
      <c r="AB49" s="11"/>
      <c r="AC49" s="11"/>
    </row>
    <row r="50" spans="1:34" x14ac:dyDescent="0.35">
      <c r="A50" s="1" t="s">
        <v>153</v>
      </c>
      <c r="B50" s="26">
        <v>6.47</v>
      </c>
      <c r="C50" s="26">
        <v>10.210000000000001</v>
      </c>
      <c r="D50" s="26">
        <v>14.51</v>
      </c>
      <c r="E50" s="26">
        <v>9.11</v>
      </c>
      <c r="F50" s="26">
        <v>9.48</v>
      </c>
      <c r="G50" s="26">
        <v>11.28</v>
      </c>
      <c r="H50" s="26">
        <f>Y50</f>
        <v>15.12</v>
      </c>
      <c r="I50" s="26">
        <f>AC50</f>
        <v>16.940000000000001</v>
      </c>
      <c r="J50" s="26"/>
      <c r="N50" s="26">
        <v>9.2200000000000006</v>
      </c>
      <c r="O50" s="26">
        <v>9.0299999999999994</v>
      </c>
      <c r="P50" s="26">
        <v>9.59</v>
      </c>
      <c r="Q50" s="26">
        <f>F50</f>
        <v>9.48</v>
      </c>
      <c r="R50" s="26">
        <v>8.26</v>
      </c>
      <c r="S50" s="26">
        <v>8.9</v>
      </c>
      <c r="T50" s="26">
        <v>8.92</v>
      </c>
      <c r="U50" s="35">
        <f>G50</f>
        <v>11.28</v>
      </c>
      <c r="V50" s="35">
        <v>11.62</v>
      </c>
      <c r="W50" s="35">
        <v>12.05</v>
      </c>
      <c r="X50" s="35">
        <v>13.8</v>
      </c>
      <c r="Y50" s="35">
        <v>15.12</v>
      </c>
      <c r="Z50" s="35">
        <v>15.78</v>
      </c>
      <c r="AA50" s="35">
        <v>13.78</v>
      </c>
      <c r="AB50" s="35">
        <v>14.88</v>
      </c>
      <c r="AC50" s="35">
        <v>16.940000000000001</v>
      </c>
      <c r="AD50" s="69">
        <f>IFERROR(AC50/Y50-1,"")</f>
        <v>0.12037037037037046</v>
      </c>
      <c r="AE50" s="69">
        <f>IFERROR(AC50/AB50-1,"")</f>
        <v>0.13844086021505375</v>
      </c>
      <c r="AF50" s="75"/>
    </row>
    <row r="51" spans="1:34" x14ac:dyDescent="0.35">
      <c r="A51" s="1" t="s">
        <v>224</v>
      </c>
      <c r="B51" s="7">
        <f t="shared" ref="B51:H51" si="54">(B41+B50)/B38</f>
        <v>0.73934311670160724</v>
      </c>
      <c r="C51" s="7">
        <f t="shared" si="54"/>
        <v>0.82982151710461094</v>
      </c>
      <c r="D51" s="7">
        <f t="shared" si="54"/>
        <v>0.78732766207098837</v>
      </c>
      <c r="E51" s="7">
        <f t="shared" si="54"/>
        <v>0.87699771689497708</v>
      </c>
      <c r="F51" s="7">
        <f t="shared" si="54"/>
        <v>0.74391146285751053</v>
      </c>
      <c r="G51" s="7">
        <f t="shared" si="54"/>
        <v>0.47061257055051559</v>
      </c>
      <c r="H51" s="7">
        <f t="shared" si="54"/>
        <v>0.5948598946514565</v>
      </c>
      <c r="I51" s="7">
        <f t="shared" ref="I51" si="55">(I41+I50)/I38</f>
        <v>0.50868026898427576</v>
      </c>
      <c r="J51" s="7"/>
      <c r="N51" s="7">
        <f t="shared" ref="N51:Z51" si="56">(N41+N50)/N38</f>
        <v>1.1481185529565598</v>
      </c>
      <c r="O51" s="7">
        <f t="shared" si="56"/>
        <v>1.4792414518292902</v>
      </c>
      <c r="P51" s="11">
        <f t="shared" si="56"/>
        <v>0.90432739377325233</v>
      </c>
      <c r="Q51" s="11">
        <f t="shared" si="56"/>
        <v>0.74391146285751064</v>
      </c>
      <c r="R51" s="11">
        <f t="shared" si="56"/>
        <v>0.70307264668319436</v>
      </c>
      <c r="S51" s="11">
        <f t="shared" si="56"/>
        <v>0.77428169893816368</v>
      </c>
      <c r="T51" s="11">
        <f t="shared" si="56"/>
        <v>0.46218249316139121</v>
      </c>
      <c r="U51" s="11">
        <f t="shared" si="56"/>
        <v>0.47061257055051559</v>
      </c>
      <c r="V51" s="11">
        <f t="shared" si="56"/>
        <v>0.45778065351019087</v>
      </c>
      <c r="W51" s="11">
        <f t="shared" si="56"/>
        <v>0.50796615756510277</v>
      </c>
      <c r="X51" s="11">
        <f t="shared" si="56"/>
        <v>0.53570330095546137</v>
      </c>
      <c r="Y51" s="11">
        <f t="shared" si="56"/>
        <v>0.5948598946514565</v>
      </c>
      <c r="Z51" s="11">
        <f t="shared" si="56"/>
        <v>0.57126944640403965</v>
      </c>
      <c r="AA51" s="11">
        <f>(AA41+AA50)/AA38</f>
        <v>0.52333811689733167</v>
      </c>
      <c r="AB51" s="11">
        <f>(AB41+AB50)/AB38</f>
        <v>0.52408229436059761</v>
      </c>
      <c r="AC51" s="11">
        <f>(AC41+AC50)/AC38</f>
        <v>0.50868026898427576</v>
      </c>
      <c r="AG51" s="116"/>
    </row>
    <row r="52" spans="1:34" x14ac:dyDescent="0.35">
      <c r="A52" s="1" t="s">
        <v>225</v>
      </c>
      <c r="B52" s="7">
        <f>B51</f>
        <v>0.73934311670160724</v>
      </c>
      <c r="C52" s="7">
        <f>C51</f>
        <v>0.82982151710461094</v>
      </c>
      <c r="D52" s="7">
        <f>D51</f>
        <v>0.78732766207098837</v>
      </c>
      <c r="E52" s="7">
        <f>E51</f>
        <v>0.87699771689497708</v>
      </c>
      <c r="F52" s="7">
        <f>F51</f>
        <v>0.74391146285751053</v>
      </c>
      <c r="G52" s="7">
        <f>U52</f>
        <v>0.83599999999999997</v>
      </c>
      <c r="H52" s="7">
        <f>Y52</f>
        <v>1.048</v>
      </c>
      <c r="I52" s="7">
        <f>AC52</f>
        <v>0.75662375370951573</v>
      </c>
      <c r="J52" s="7"/>
      <c r="N52" s="11">
        <f t="shared" ref="N52:R52" si="57">N51</f>
        <v>1.1481185529565598</v>
      </c>
      <c r="O52" s="11">
        <f t="shared" si="57"/>
        <v>1.4792414518292902</v>
      </c>
      <c r="P52" s="11">
        <f t="shared" si="57"/>
        <v>0.90432739377325233</v>
      </c>
      <c r="Q52" s="11">
        <f t="shared" si="57"/>
        <v>0.74391146285751064</v>
      </c>
      <c r="R52" s="11">
        <f t="shared" si="57"/>
        <v>0.70307264668319436</v>
      </c>
      <c r="S52" s="11">
        <f>S51</f>
        <v>0.77428169893816368</v>
      </c>
      <c r="T52" s="11">
        <v>0.69099999999999995</v>
      </c>
      <c r="U52" s="11">
        <v>0.83599999999999997</v>
      </c>
      <c r="V52" s="11">
        <v>0.81</v>
      </c>
      <c r="W52" s="11">
        <v>0.91020000000000001</v>
      </c>
      <c r="X52" s="11">
        <v>0.87419999999999998</v>
      </c>
      <c r="Y52" s="11">
        <v>1.048</v>
      </c>
      <c r="Z52" s="11">
        <f>(Z41+Z50)/Z35</f>
        <v>0.90803664960089703</v>
      </c>
      <c r="AA52" s="11">
        <f>(AA41+AA50)/AA35</f>
        <v>0.84598749655958794</v>
      </c>
      <c r="AB52" s="11">
        <f>(AB41+AB50)/AB35</f>
        <v>0.78954897536693724</v>
      </c>
      <c r="AC52" s="11">
        <f>(AC41+AC50)/AC35</f>
        <v>0.75662375370951573</v>
      </c>
      <c r="AG52" s="123"/>
    </row>
    <row r="53" spans="1:34" s="5" customFormat="1" x14ac:dyDescent="0.35">
      <c r="A53" s="5" t="s">
        <v>79</v>
      </c>
      <c r="B53" s="6" t="str">
        <f t="shared" ref="B53:J53" si="58">B1</f>
        <v>FY17</v>
      </c>
      <c r="C53" s="6" t="str">
        <f t="shared" si="58"/>
        <v>FY18</v>
      </c>
      <c r="D53" s="6" t="str">
        <f t="shared" si="58"/>
        <v>FY19</v>
      </c>
      <c r="E53" s="6" t="str">
        <f t="shared" si="58"/>
        <v>FY20</v>
      </c>
      <c r="F53" s="6" t="str">
        <f t="shared" si="58"/>
        <v>FY21</v>
      </c>
      <c r="G53" s="6" t="str">
        <f t="shared" si="58"/>
        <v>FY22</v>
      </c>
      <c r="H53" s="6" t="str">
        <f t="shared" si="58"/>
        <v>FY23</v>
      </c>
      <c r="I53" s="6" t="str">
        <f t="shared" ref="I53" si="59">I1</f>
        <v>FY24</v>
      </c>
      <c r="J53" s="6" t="str">
        <f t="shared" si="58"/>
        <v>Yoy%</v>
      </c>
      <c r="N53" s="6" t="s">
        <v>38</v>
      </c>
      <c r="O53" s="6" t="str">
        <f>O1</f>
        <v>Q2FY21</v>
      </c>
      <c r="P53" s="80" t="str">
        <f>P1</f>
        <v>Q3FY21</v>
      </c>
      <c r="Q53" s="6" t="s">
        <v>74</v>
      </c>
      <c r="R53" s="6" t="s">
        <v>186</v>
      </c>
      <c r="S53" s="80" t="str">
        <f t="shared" ref="S53:AE53" si="60">S1</f>
        <v>Q2FY22</v>
      </c>
      <c r="T53" s="80" t="str">
        <f t="shared" si="60"/>
        <v>Q3FY22</v>
      </c>
      <c r="U53" s="80" t="str">
        <f t="shared" si="60"/>
        <v>Q4FY22</v>
      </c>
      <c r="V53" s="80" t="str">
        <f t="shared" si="60"/>
        <v>Q1FY23</v>
      </c>
      <c r="W53" s="80" t="str">
        <f t="shared" si="60"/>
        <v>Q2FY23</v>
      </c>
      <c r="X53" s="80" t="str">
        <f t="shared" si="60"/>
        <v>Q3FY23</v>
      </c>
      <c r="Y53" s="80" t="str">
        <f t="shared" si="60"/>
        <v>Q4FY23</v>
      </c>
      <c r="Z53" s="80" t="str">
        <f t="shared" si="60"/>
        <v>Q1FY24</v>
      </c>
      <c r="AA53" s="80" t="str">
        <f t="shared" ref="AA53:AB53" si="61">AA1</f>
        <v>Q2FY24</v>
      </c>
      <c r="AB53" s="80" t="str">
        <f t="shared" si="61"/>
        <v>Q3FY24</v>
      </c>
      <c r="AC53" s="80" t="str">
        <f t="shared" ref="AC53" si="62">AC1</f>
        <v>Q4FY24</v>
      </c>
      <c r="AD53" s="6" t="str">
        <f t="shared" si="60"/>
        <v>y-o-y</v>
      </c>
      <c r="AE53" s="6" t="str">
        <f t="shared" si="60"/>
        <v>q-o-q</v>
      </c>
      <c r="AF53" s="6"/>
    </row>
    <row r="54" spans="1:34" s="8" customFormat="1" x14ac:dyDescent="0.35">
      <c r="B54" s="9"/>
      <c r="C54" s="9"/>
      <c r="D54" s="9"/>
      <c r="E54" s="9"/>
      <c r="F54" s="9"/>
      <c r="G54" s="9"/>
      <c r="H54" s="9"/>
      <c r="I54" s="9"/>
      <c r="J54" s="9"/>
      <c r="N54" s="9"/>
      <c r="O54" s="9"/>
      <c r="P54" s="85"/>
      <c r="Q54" s="86"/>
      <c r="R54" s="86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64"/>
      <c r="AE54" s="64"/>
      <c r="AF54" s="64"/>
    </row>
    <row r="55" spans="1:34" x14ac:dyDescent="0.35">
      <c r="A55" s="1" t="s">
        <v>41</v>
      </c>
      <c r="B55" s="26">
        <v>851.78</v>
      </c>
      <c r="C55" s="26">
        <v>1274.4700000000003</v>
      </c>
      <c r="D55" s="26">
        <v>2289.1499999999992</v>
      </c>
      <c r="E55" s="26">
        <v>3424.9799999999996</v>
      </c>
      <c r="F55" s="26">
        <v>4061.31</v>
      </c>
      <c r="G55" s="26">
        <v>4770.4399999999996</v>
      </c>
      <c r="H55" s="26">
        <f>SUM(V55:Y55)</f>
        <v>6824.9699999999993</v>
      </c>
      <c r="I55" s="26">
        <f>SUM(Z55:AC55)</f>
        <v>9696.14</v>
      </c>
      <c r="J55" s="38">
        <f t="shared" ref="J55:J70" si="63">I55/H55-1</f>
        <v>0.42068609825391179</v>
      </c>
      <c r="K55" s="44"/>
      <c r="L55" s="17"/>
      <c r="N55" s="26">
        <v>1016.46</v>
      </c>
      <c r="O55" s="26">
        <v>977.49</v>
      </c>
      <c r="P55" s="26">
        <v>1022.08</v>
      </c>
      <c r="Q55" s="26">
        <v>1045.28</v>
      </c>
      <c r="R55" s="26">
        <v>1091.27</v>
      </c>
      <c r="S55" s="26">
        <v>1154.3800000000001</v>
      </c>
      <c r="T55" s="26">
        <v>1214.5</v>
      </c>
      <c r="U55" s="26">
        <v>1310.29</v>
      </c>
      <c r="V55" s="26">
        <v>1449.89</v>
      </c>
      <c r="W55" s="26">
        <v>1637.1899999999998</v>
      </c>
      <c r="X55" s="26">
        <v>1800.6499999999999</v>
      </c>
      <c r="Y55" s="26">
        <v>1937.2399999999998</v>
      </c>
      <c r="Z55" s="26">
        <v>2166.17</v>
      </c>
      <c r="AA55" s="26">
        <v>2347.760000000002</v>
      </c>
      <c r="AB55" s="26">
        <v>2508.9399999999978</v>
      </c>
      <c r="AC55" s="26">
        <v>2673.2699999999995</v>
      </c>
      <c r="AD55" s="69">
        <f t="shared" ref="AD55:AD70" si="64">IFERROR(AC55/Y55-1,"")</f>
        <v>0.37993743676570779</v>
      </c>
      <c r="AE55" s="69">
        <f t="shared" ref="AE55:AE70" si="65">IFERROR(AC55/AB55-1,"")</f>
        <v>6.5497779938939127E-2</v>
      </c>
      <c r="AF55" s="69"/>
      <c r="AG55" s="119"/>
      <c r="AH55" s="119"/>
    </row>
    <row r="56" spans="1:34" x14ac:dyDescent="0.35">
      <c r="A56" t="s">
        <v>42</v>
      </c>
      <c r="B56" s="26">
        <v>25.92</v>
      </c>
      <c r="C56" s="26">
        <v>0</v>
      </c>
      <c r="D56" s="26">
        <v>214.76</v>
      </c>
      <c r="E56" s="26">
        <v>371.22</v>
      </c>
      <c r="F56" s="26">
        <v>439.35</v>
      </c>
      <c r="G56" s="26">
        <v>678.34</v>
      </c>
      <c r="H56" s="26">
        <f t="shared" ref="H56:H57" si="66">SUM(V56:Y56)</f>
        <v>380.37</v>
      </c>
      <c r="I56" s="26">
        <f t="shared" ref="I56:I59" si="67">SUM(Z56:AC56)</f>
        <v>631.08000000000004</v>
      </c>
      <c r="J56" s="38">
        <f t="shared" si="63"/>
        <v>0.65912138181244595</v>
      </c>
      <c r="K56" s="44"/>
      <c r="L56" s="17"/>
      <c r="N56" s="26">
        <v>257.63</v>
      </c>
      <c r="O56" s="26">
        <v>0</v>
      </c>
      <c r="P56" s="26">
        <v>0</v>
      </c>
      <c r="Q56" s="26">
        <f>F56-SUM(N56:P56)</f>
        <v>181.72000000000003</v>
      </c>
      <c r="R56" s="26">
        <v>193.65</v>
      </c>
      <c r="S56" s="26">
        <v>170.73999999999998</v>
      </c>
      <c r="T56" s="26">
        <v>175.77</v>
      </c>
      <c r="U56" s="26">
        <f>G56-SUM(R56:T56)</f>
        <v>138.18000000000006</v>
      </c>
      <c r="V56" s="26">
        <v>99</v>
      </c>
      <c r="W56" s="26">
        <v>93.300000000000011</v>
      </c>
      <c r="X56" s="26">
        <v>76.039999999999964</v>
      </c>
      <c r="Y56" s="26">
        <v>112.03000000000003</v>
      </c>
      <c r="Z56" s="26">
        <v>125.71</v>
      </c>
      <c r="AA56" s="26">
        <v>151.40000000000003</v>
      </c>
      <c r="AB56" s="26">
        <v>206.26</v>
      </c>
      <c r="AC56" s="26">
        <v>147.71000000000004</v>
      </c>
      <c r="AD56" s="69">
        <f t="shared" si="64"/>
        <v>0.31848611978934205</v>
      </c>
      <c r="AE56" s="69">
        <f t="shared" si="65"/>
        <v>-0.28386502472607367</v>
      </c>
      <c r="AF56" s="69"/>
      <c r="AG56" s="119"/>
      <c r="AH56" s="119"/>
    </row>
    <row r="57" spans="1:34" x14ac:dyDescent="0.35">
      <c r="A57" s="1" t="s">
        <v>43</v>
      </c>
      <c r="B57" s="26">
        <v>38.07</v>
      </c>
      <c r="C57" s="26">
        <v>67.899999999999991</v>
      </c>
      <c r="D57" s="26">
        <v>206.33</v>
      </c>
      <c r="E57" s="26">
        <v>400.55</v>
      </c>
      <c r="F57" s="26">
        <f>F86</f>
        <v>390.95</v>
      </c>
      <c r="G57" s="26">
        <f>G86</f>
        <v>508.22999999999996</v>
      </c>
      <c r="H57" s="26">
        <f t="shared" si="66"/>
        <v>750.64000000000033</v>
      </c>
      <c r="I57" s="26">
        <f t="shared" si="67"/>
        <v>1238.23</v>
      </c>
      <c r="J57" s="38">
        <f t="shared" si="63"/>
        <v>0.64956570393264346</v>
      </c>
      <c r="K57" s="44"/>
      <c r="L57" s="17"/>
      <c r="N57" s="26">
        <f t="shared" ref="N57:V57" si="68">N86</f>
        <v>68.119999999999976</v>
      </c>
      <c r="O57" s="26">
        <f t="shared" si="68"/>
        <v>110.56</v>
      </c>
      <c r="P57" s="26">
        <f t="shared" si="68"/>
        <v>80.789999999999992</v>
      </c>
      <c r="Q57" s="26">
        <f t="shared" si="68"/>
        <v>131.47999999999999</v>
      </c>
      <c r="R57" s="26">
        <f t="shared" si="68"/>
        <v>133</v>
      </c>
      <c r="S57" s="26">
        <f t="shared" si="68"/>
        <v>136.07</v>
      </c>
      <c r="T57" s="26">
        <f t="shared" si="68"/>
        <v>126.77</v>
      </c>
      <c r="U57" s="26">
        <f t="shared" si="68"/>
        <v>112.39</v>
      </c>
      <c r="V57" s="26">
        <f t="shared" si="68"/>
        <v>144.56</v>
      </c>
      <c r="W57" s="26">
        <v>163.59</v>
      </c>
      <c r="X57" s="26">
        <v>178.72999999999996</v>
      </c>
      <c r="Y57" s="26">
        <v>263.76000000000039</v>
      </c>
      <c r="Z57" s="26">
        <v>306.18999999999994</v>
      </c>
      <c r="AA57" s="26">
        <v>280.64999999999998</v>
      </c>
      <c r="AB57" s="26">
        <v>294.90000000000009</v>
      </c>
      <c r="AC57" s="26">
        <v>356.49</v>
      </c>
      <c r="AD57" s="69">
        <f t="shared" si="64"/>
        <v>0.35156960873521181</v>
      </c>
      <c r="AE57" s="69">
        <f t="shared" si="65"/>
        <v>0.20885045778229872</v>
      </c>
      <c r="AF57" s="69"/>
      <c r="AG57" s="119"/>
      <c r="AH57" s="119"/>
    </row>
    <row r="58" spans="1:34" s="2" customFormat="1" x14ac:dyDescent="0.35">
      <c r="A58" s="2" t="s">
        <v>26</v>
      </c>
      <c r="B58" s="4">
        <f t="shared" ref="B58:G58" si="69">SUM(B55:B57)</f>
        <v>915.77</v>
      </c>
      <c r="C58" s="4">
        <f t="shared" si="69"/>
        <v>1342.3700000000003</v>
      </c>
      <c r="D58" s="4">
        <f t="shared" si="69"/>
        <v>2710.2399999999989</v>
      </c>
      <c r="E58" s="4">
        <f t="shared" si="69"/>
        <v>4196.75</v>
      </c>
      <c r="F58" s="4">
        <f t="shared" si="69"/>
        <v>4891.6099999999997</v>
      </c>
      <c r="G58" s="4">
        <f t="shared" si="69"/>
        <v>5957.0099999999993</v>
      </c>
      <c r="H58" s="4">
        <f t="shared" ref="H58:I58" si="70">SUM(H55:H57)</f>
        <v>7955.98</v>
      </c>
      <c r="I58" s="4">
        <f t="shared" si="70"/>
        <v>11565.449999999999</v>
      </c>
      <c r="J58" s="95">
        <f t="shared" si="63"/>
        <v>0.45368012488719178</v>
      </c>
      <c r="K58" s="44"/>
      <c r="L58" s="17"/>
      <c r="N58" s="4">
        <f t="shared" ref="N58:U58" si="71">SUM(N55:N57)</f>
        <v>1342.21</v>
      </c>
      <c r="O58" s="4">
        <f t="shared" si="71"/>
        <v>1088.05</v>
      </c>
      <c r="P58" s="4">
        <f t="shared" si="71"/>
        <v>1102.8700000000001</v>
      </c>
      <c r="Q58" s="4">
        <f t="shared" si="71"/>
        <v>1358.48</v>
      </c>
      <c r="R58" s="4">
        <f t="shared" si="71"/>
        <v>1417.92</v>
      </c>
      <c r="S58" s="4">
        <f t="shared" si="71"/>
        <v>1461.19</v>
      </c>
      <c r="T58" s="4">
        <f>SUM(T55:T57)</f>
        <v>1517.04</v>
      </c>
      <c r="U58" s="4">
        <f t="shared" si="71"/>
        <v>1560.8600000000001</v>
      </c>
      <c r="V58" s="4">
        <f t="shared" ref="V58" si="72">SUM(V55:V57)</f>
        <v>1693.45</v>
      </c>
      <c r="W58" s="4">
        <f t="shared" ref="W58:AB58" si="73">SUM(W55:W57)</f>
        <v>1894.0799999999997</v>
      </c>
      <c r="X58" s="4">
        <f t="shared" si="73"/>
        <v>2055.4199999999996</v>
      </c>
      <c r="Y58" s="4">
        <f t="shared" si="73"/>
        <v>2313.0300000000002</v>
      </c>
      <c r="Z58" s="4">
        <f t="shared" si="73"/>
        <v>2598.0700000000002</v>
      </c>
      <c r="AA58" s="4">
        <f t="shared" si="73"/>
        <v>2779.8100000000022</v>
      </c>
      <c r="AB58" s="4">
        <f t="shared" si="73"/>
        <v>3010.0999999999981</v>
      </c>
      <c r="AC58" s="4">
        <f>SUM(AC55:AC57)</f>
        <v>3177.4699999999993</v>
      </c>
      <c r="AD58" s="71">
        <f t="shared" si="64"/>
        <v>0.37372623787845338</v>
      </c>
      <c r="AE58" s="71">
        <f t="shared" si="65"/>
        <v>5.5602803893558761E-2</v>
      </c>
      <c r="AF58" s="71"/>
      <c r="AG58" s="119"/>
      <c r="AH58" s="119"/>
    </row>
    <row r="59" spans="1:34" x14ac:dyDescent="0.35">
      <c r="A59" s="1" t="s">
        <v>128</v>
      </c>
      <c r="B59" s="26">
        <v>532.85</v>
      </c>
      <c r="C59" s="26">
        <v>647.11</v>
      </c>
      <c r="D59" s="26">
        <v>1248.83</v>
      </c>
      <c r="E59" s="26">
        <v>1912.23</v>
      </c>
      <c r="F59" s="26">
        <v>2165.84</v>
      </c>
      <c r="G59" s="26">
        <v>2148.15</v>
      </c>
      <c r="H59" s="26">
        <f>SUM(V59:Y59)</f>
        <v>3032.5600000000004</v>
      </c>
      <c r="I59" s="26">
        <f t="shared" si="67"/>
        <v>4986.6099999999997</v>
      </c>
      <c r="J59" s="38">
        <f t="shared" si="63"/>
        <v>0.64435658321681988</v>
      </c>
      <c r="K59" s="44"/>
      <c r="L59" s="17"/>
      <c r="N59" s="26">
        <v>538.04</v>
      </c>
      <c r="O59" s="26">
        <f>1099.79-N59</f>
        <v>561.75</v>
      </c>
      <c r="P59" s="26">
        <v>531.54999999999995</v>
      </c>
      <c r="Q59" s="26">
        <v>534.5</v>
      </c>
      <c r="R59" s="26">
        <v>526.91999999999996</v>
      </c>
      <c r="S59" s="26">
        <f>1067.71-R59</f>
        <v>540.79000000000008</v>
      </c>
      <c r="T59" s="26">
        <v>544.54</v>
      </c>
      <c r="U59" s="26">
        <f>G59-SUM(R59:T59)</f>
        <v>535.90000000000009</v>
      </c>
      <c r="V59" s="26">
        <v>604.64</v>
      </c>
      <c r="W59" s="26">
        <v>709.02</v>
      </c>
      <c r="X59" s="26">
        <v>792.9799999999999</v>
      </c>
      <c r="Y59" s="26">
        <v>925.92000000000053</v>
      </c>
      <c r="Z59" s="26">
        <v>1064.93</v>
      </c>
      <c r="AA59" s="26">
        <v>1167.3499999999997</v>
      </c>
      <c r="AB59" s="26">
        <v>1298.9700000000005</v>
      </c>
      <c r="AC59" s="26">
        <v>1455.3599999999997</v>
      </c>
      <c r="AD59" s="69">
        <f t="shared" si="64"/>
        <v>0.57179885951269971</v>
      </c>
      <c r="AE59" s="69">
        <f t="shared" si="65"/>
        <v>0.12039539019376821</v>
      </c>
      <c r="AF59" s="69"/>
      <c r="AG59" s="119"/>
      <c r="AH59" s="119"/>
    </row>
    <row r="60" spans="1:34" s="2" customFormat="1" x14ac:dyDescent="0.35">
      <c r="A60" s="2" t="s">
        <v>25</v>
      </c>
      <c r="B60" s="4">
        <f t="shared" ref="B60:G60" si="74">B55-B59</f>
        <v>318.92999999999995</v>
      </c>
      <c r="C60" s="4">
        <f t="shared" si="74"/>
        <v>627.36000000000024</v>
      </c>
      <c r="D60" s="4">
        <f t="shared" si="74"/>
        <v>1040.3199999999993</v>
      </c>
      <c r="E60" s="4">
        <f t="shared" si="74"/>
        <v>1512.7499999999995</v>
      </c>
      <c r="F60" s="4">
        <f t="shared" si="74"/>
        <v>1895.4699999999998</v>
      </c>
      <c r="G60" s="4">
        <f t="shared" si="74"/>
        <v>2622.2899999999995</v>
      </c>
      <c r="H60" s="4">
        <f t="shared" ref="H60:I60" si="75">H55-H59</f>
        <v>3792.4099999999989</v>
      </c>
      <c r="I60" s="4">
        <f t="shared" si="75"/>
        <v>4709.53</v>
      </c>
      <c r="J60" s="95">
        <f t="shared" si="63"/>
        <v>0.24183039281090424</v>
      </c>
      <c r="K60" s="44"/>
      <c r="L60" s="17"/>
      <c r="N60" s="4">
        <f t="shared" ref="N60:U60" si="76">N55-N59</f>
        <v>478.42000000000007</v>
      </c>
      <c r="O60" s="4">
        <f t="shared" si="76"/>
        <v>415.74</v>
      </c>
      <c r="P60" s="4">
        <f t="shared" si="76"/>
        <v>490.53000000000009</v>
      </c>
      <c r="Q60" s="4">
        <f t="shared" si="76"/>
        <v>510.78</v>
      </c>
      <c r="R60" s="4">
        <f t="shared" si="76"/>
        <v>564.35</v>
      </c>
      <c r="S60" s="4">
        <f t="shared" si="76"/>
        <v>613.59</v>
      </c>
      <c r="T60" s="4">
        <f>T55-T59</f>
        <v>669.96</v>
      </c>
      <c r="U60" s="4">
        <f t="shared" si="76"/>
        <v>774.38999999999987</v>
      </c>
      <c r="V60" s="4">
        <f t="shared" ref="V60:W60" si="77">V55-V59</f>
        <v>845.25000000000011</v>
      </c>
      <c r="W60" s="4">
        <f t="shared" si="77"/>
        <v>928.16999999999985</v>
      </c>
      <c r="X60" s="4">
        <f t="shared" ref="X60:Y60" si="78">X55-X59</f>
        <v>1007.67</v>
      </c>
      <c r="Y60" s="4">
        <f t="shared" si="78"/>
        <v>1011.3199999999993</v>
      </c>
      <c r="Z60" s="4">
        <f t="shared" ref="Z60:AA60" si="79">Z55-Z59</f>
        <v>1101.24</v>
      </c>
      <c r="AA60" s="4">
        <f t="shared" si="79"/>
        <v>1180.4100000000024</v>
      </c>
      <c r="AB60" s="4">
        <f t="shared" ref="AB60:AC60" si="80">AB55-AB59</f>
        <v>1209.9699999999973</v>
      </c>
      <c r="AC60" s="4">
        <f t="shared" si="80"/>
        <v>1217.9099999999999</v>
      </c>
      <c r="AD60" s="71">
        <f t="shared" si="64"/>
        <v>0.20427757781908862</v>
      </c>
      <c r="AE60" s="71">
        <f t="shared" si="65"/>
        <v>6.5621461689153726E-3</v>
      </c>
      <c r="AF60" s="71"/>
      <c r="AG60" s="117"/>
      <c r="AH60" s="119"/>
    </row>
    <row r="61" spans="1:34" s="2" customFormat="1" x14ac:dyDescent="0.35">
      <c r="A61" s="2" t="s">
        <v>182</v>
      </c>
      <c r="B61" s="4">
        <f t="shared" ref="B61:G61" si="81">B58-B59</f>
        <v>382.91999999999996</v>
      </c>
      <c r="C61" s="4">
        <f t="shared" si="81"/>
        <v>695.26000000000033</v>
      </c>
      <c r="D61" s="4">
        <f t="shared" si="81"/>
        <v>1461.4099999999989</v>
      </c>
      <c r="E61" s="4">
        <f t="shared" si="81"/>
        <v>2284.52</v>
      </c>
      <c r="F61" s="4">
        <f t="shared" si="81"/>
        <v>2725.7699999999995</v>
      </c>
      <c r="G61" s="4">
        <f t="shared" si="81"/>
        <v>3808.8599999999992</v>
      </c>
      <c r="H61" s="4">
        <f t="shared" ref="H61:I61" si="82">H58-H59</f>
        <v>4923.4199999999992</v>
      </c>
      <c r="I61" s="4">
        <f t="shared" si="82"/>
        <v>6578.8399999999992</v>
      </c>
      <c r="J61" s="95">
        <f t="shared" si="63"/>
        <v>0.33623375621011409</v>
      </c>
      <c r="K61" s="44"/>
      <c r="L61" s="17"/>
      <c r="N61" s="4">
        <f t="shared" ref="N61:U61" si="83">N58-N59</f>
        <v>804.17000000000007</v>
      </c>
      <c r="O61" s="4">
        <f t="shared" si="83"/>
        <v>526.29999999999995</v>
      </c>
      <c r="P61" s="4">
        <f t="shared" si="83"/>
        <v>571.32000000000016</v>
      </c>
      <c r="Q61" s="4">
        <f t="shared" si="83"/>
        <v>823.98</v>
      </c>
      <c r="R61" s="4">
        <f t="shared" si="83"/>
        <v>891.00000000000011</v>
      </c>
      <c r="S61" s="4">
        <f t="shared" si="83"/>
        <v>920.4</v>
      </c>
      <c r="T61" s="4">
        <f>T58-T59</f>
        <v>972.5</v>
      </c>
      <c r="U61" s="4">
        <f t="shared" si="83"/>
        <v>1024.96</v>
      </c>
      <c r="V61" s="4">
        <f t="shared" ref="V61:W61" si="84">V58-V59</f>
        <v>1088.81</v>
      </c>
      <c r="W61" s="4">
        <f t="shared" si="84"/>
        <v>1185.0599999999997</v>
      </c>
      <c r="X61" s="4">
        <f t="shared" ref="X61:Y61" si="85">X58-X59</f>
        <v>1262.4399999999996</v>
      </c>
      <c r="Y61" s="4">
        <f t="shared" si="85"/>
        <v>1387.1099999999997</v>
      </c>
      <c r="Z61" s="4">
        <f t="shared" ref="Z61:AA61" si="86">Z58-Z59</f>
        <v>1533.14</v>
      </c>
      <c r="AA61" s="4">
        <f t="shared" si="86"/>
        <v>1612.4600000000025</v>
      </c>
      <c r="AB61" s="4">
        <f t="shared" ref="AB61:AC61" si="87">AB58-AB59</f>
        <v>1711.1299999999976</v>
      </c>
      <c r="AC61" s="4">
        <f t="shared" si="87"/>
        <v>1722.1099999999997</v>
      </c>
      <c r="AD61" s="71">
        <f t="shared" si="64"/>
        <v>0.24150932514364398</v>
      </c>
      <c r="AE61" s="71">
        <f t="shared" si="65"/>
        <v>6.4168122819434625E-3</v>
      </c>
      <c r="AF61" s="71"/>
      <c r="AG61" s="117"/>
      <c r="AH61" s="119"/>
    </row>
    <row r="62" spans="1:34" x14ac:dyDescent="0.35">
      <c r="A62" s="1" t="s">
        <v>44</v>
      </c>
      <c r="B62" s="3">
        <f t="shared" ref="B62:G62" si="88">SUM(B63:B66)</f>
        <v>262</v>
      </c>
      <c r="C62" s="3">
        <f t="shared" si="88"/>
        <v>423.82000000000005</v>
      </c>
      <c r="D62" s="3">
        <f t="shared" si="88"/>
        <v>735.41</v>
      </c>
      <c r="E62" s="3">
        <f t="shared" si="88"/>
        <v>1046.1500000000001</v>
      </c>
      <c r="F62" s="3">
        <f t="shared" si="88"/>
        <v>1063.8100000000002</v>
      </c>
      <c r="G62" s="3">
        <f t="shared" si="88"/>
        <v>1295.69</v>
      </c>
      <c r="H62" s="3">
        <f t="shared" ref="H62:I62" si="89">SUM(H63:H66)</f>
        <v>1755.9900000000002</v>
      </c>
      <c r="I62" s="3">
        <f t="shared" si="89"/>
        <v>2324.92</v>
      </c>
      <c r="J62" s="96">
        <f t="shared" si="63"/>
        <v>0.32399387240246225</v>
      </c>
      <c r="K62" s="44"/>
      <c r="L62" s="17"/>
      <c r="N62" s="3">
        <f t="shared" ref="N62:U62" si="90">SUM(N63:N66)</f>
        <v>231.95000000000002</v>
      </c>
      <c r="O62" s="3">
        <f t="shared" si="90"/>
        <v>231.06999999999996</v>
      </c>
      <c r="P62" s="3">
        <f t="shared" si="90"/>
        <v>285.40000000000003</v>
      </c>
      <c r="Q62" s="3">
        <f t="shared" si="90"/>
        <v>315.39000000000004</v>
      </c>
      <c r="R62" s="3">
        <f t="shared" si="90"/>
        <v>284.3</v>
      </c>
      <c r="S62" s="3">
        <f t="shared" si="90"/>
        <v>324.04999999999995</v>
      </c>
      <c r="T62" s="3">
        <f>SUM(T63:T66)</f>
        <v>321.33000000000004</v>
      </c>
      <c r="U62" s="3">
        <f t="shared" si="90"/>
        <v>366.01000000000005</v>
      </c>
      <c r="V62" s="3">
        <f t="shared" ref="V62:W62" si="91">SUM(V63:V66)</f>
        <v>389.69</v>
      </c>
      <c r="W62" s="3">
        <f t="shared" si="91"/>
        <v>443.65</v>
      </c>
      <c r="X62" s="3">
        <f t="shared" ref="X62:Y62" si="92">SUM(X63:X66)</f>
        <v>445.14000000000004</v>
      </c>
      <c r="Y62" s="3">
        <f t="shared" si="92"/>
        <v>477.51000000000016</v>
      </c>
      <c r="Z62" s="3">
        <f t="shared" ref="Z62:AA62" si="93">SUM(Z63:Z66)</f>
        <v>555.98</v>
      </c>
      <c r="AA62" s="3">
        <f t="shared" si="93"/>
        <v>568.06999999999994</v>
      </c>
      <c r="AB62" s="3">
        <f t="shared" ref="AB62:AC62" si="94">SUM(AB63:AB66)</f>
        <v>613.64999999999986</v>
      </c>
      <c r="AC62" s="3">
        <f t="shared" si="94"/>
        <v>587.22</v>
      </c>
      <c r="AD62" s="69">
        <f t="shared" si="64"/>
        <v>0.2297543506942259</v>
      </c>
      <c r="AE62" s="69">
        <f t="shared" si="65"/>
        <v>-4.3070153996577543E-2</v>
      </c>
      <c r="AF62" s="69"/>
      <c r="AG62" s="119"/>
      <c r="AH62" s="119"/>
    </row>
    <row r="63" spans="1:34" s="15" customFormat="1" x14ac:dyDescent="0.35">
      <c r="A63" s="15" t="s">
        <v>27</v>
      </c>
      <c r="B63" s="36">
        <v>149.97000000000003</v>
      </c>
      <c r="C63" s="36">
        <v>249.55000000000007</v>
      </c>
      <c r="D63" s="36">
        <v>431.74</v>
      </c>
      <c r="E63" s="36">
        <v>610.75</v>
      </c>
      <c r="F63" s="36">
        <v>661.26</v>
      </c>
      <c r="G63" s="36">
        <v>807.7</v>
      </c>
      <c r="H63" s="36">
        <f t="shared" ref="H63:H71" si="95">SUM(V63:Y63)</f>
        <v>1070.1300000000001</v>
      </c>
      <c r="I63" s="36">
        <f t="shared" ref="I63:I71" si="96">SUM(Z63:AC63)</f>
        <v>1483.4399999999998</v>
      </c>
      <c r="J63" s="38">
        <f t="shared" si="63"/>
        <v>0.38622410361357939</v>
      </c>
      <c r="K63" s="44"/>
      <c r="L63" s="17"/>
      <c r="M63" s="52"/>
      <c r="N63" s="36">
        <v>145.70000000000002</v>
      </c>
      <c r="O63" s="36">
        <f>298.01-N63</f>
        <v>152.30999999999997</v>
      </c>
      <c r="P63" s="36">
        <v>173.9</v>
      </c>
      <c r="Q63" s="36">
        <f t="shared" ref="Q63:Q70" si="97">F63-SUM(N63:P63)</f>
        <v>189.35000000000002</v>
      </c>
      <c r="R63" s="36">
        <v>185.51000000000002</v>
      </c>
      <c r="S63" s="36">
        <f>377.04-R63</f>
        <v>191.53</v>
      </c>
      <c r="T63" s="36">
        <v>201.23</v>
      </c>
      <c r="U63" s="36">
        <f>G63-SUM(R63:T63)</f>
        <v>229.43000000000006</v>
      </c>
      <c r="V63" s="36">
        <v>255.82</v>
      </c>
      <c r="W63" s="36">
        <v>265.70999999999998</v>
      </c>
      <c r="X63" s="36">
        <v>273.7</v>
      </c>
      <c r="Y63" s="36">
        <v>274.90000000000009</v>
      </c>
      <c r="Z63" s="36">
        <v>359.05</v>
      </c>
      <c r="AA63" s="36">
        <v>368.71999999999997</v>
      </c>
      <c r="AB63" s="36">
        <v>390.09999999999985</v>
      </c>
      <c r="AC63" s="36">
        <v>365.56999999999994</v>
      </c>
      <c r="AD63" s="69">
        <f t="shared" si="64"/>
        <v>0.32982902873772213</v>
      </c>
      <c r="AE63" s="69">
        <f t="shared" si="65"/>
        <v>-6.2881312483978324E-2</v>
      </c>
      <c r="AF63" s="65"/>
      <c r="AG63" s="119"/>
      <c r="AH63" s="119"/>
    </row>
    <row r="64" spans="1:34" s="15" customFormat="1" x14ac:dyDescent="0.35">
      <c r="A64" s="15" t="s">
        <v>28</v>
      </c>
      <c r="B64" s="36">
        <v>88.89</v>
      </c>
      <c r="C64" s="36">
        <v>137.11000000000001</v>
      </c>
      <c r="D64" s="36">
        <v>241.29</v>
      </c>
      <c r="E64" s="36">
        <v>336.96</v>
      </c>
      <c r="F64" s="36">
        <v>318.16000000000003</v>
      </c>
      <c r="G64" s="36">
        <v>404.26</v>
      </c>
      <c r="H64" s="36">
        <f t="shared" si="95"/>
        <v>584.87000000000012</v>
      </c>
      <c r="I64" s="36">
        <f t="shared" si="96"/>
        <v>712.18000000000006</v>
      </c>
      <c r="J64" s="38">
        <f t="shared" si="63"/>
        <v>0.21767230324687525</v>
      </c>
      <c r="K64" s="44"/>
      <c r="L64" s="17"/>
      <c r="M64" s="47"/>
      <c r="N64" s="36">
        <v>64.3</v>
      </c>
      <c r="O64" s="36">
        <v>57.3</v>
      </c>
      <c r="P64" s="36">
        <v>90.64</v>
      </c>
      <c r="Q64" s="36">
        <v>105.92</v>
      </c>
      <c r="R64" s="36">
        <v>78.05</v>
      </c>
      <c r="S64" s="36">
        <v>111.38</v>
      </c>
      <c r="T64" s="36">
        <v>99.01</v>
      </c>
      <c r="U64" s="36">
        <v>115.82</v>
      </c>
      <c r="V64" s="36">
        <v>111.31</v>
      </c>
      <c r="W64" s="36">
        <v>152.91999999999999</v>
      </c>
      <c r="X64" s="36">
        <v>145.63000000000005</v>
      </c>
      <c r="Y64" s="36">
        <v>175.01000000000005</v>
      </c>
      <c r="Z64" s="36">
        <v>167.67000000000002</v>
      </c>
      <c r="AA64" s="36">
        <v>168.14</v>
      </c>
      <c r="AB64" s="36">
        <v>190.32999999999998</v>
      </c>
      <c r="AC64" s="36">
        <v>186.04000000000008</v>
      </c>
      <c r="AD64" s="69">
        <f t="shared" si="64"/>
        <v>6.3024970001714253E-2</v>
      </c>
      <c r="AE64" s="69">
        <f t="shared" si="65"/>
        <v>-2.2539799295959173E-2</v>
      </c>
      <c r="AF64" s="65"/>
      <c r="AG64" s="119"/>
      <c r="AH64" s="119"/>
    </row>
    <row r="65" spans="1:34" s="15" customFormat="1" x14ac:dyDescent="0.35">
      <c r="A65" s="15" t="s">
        <v>29</v>
      </c>
      <c r="B65" s="36">
        <v>15.55</v>
      </c>
      <c r="C65" s="36">
        <v>24.63</v>
      </c>
      <c r="D65" s="36">
        <v>45.77</v>
      </c>
      <c r="E65" s="36">
        <v>72.39</v>
      </c>
      <c r="F65" s="36">
        <v>76.239999999999995</v>
      </c>
      <c r="G65" s="36">
        <v>75.209999999999994</v>
      </c>
      <c r="H65" s="36">
        <f t="shared" si="95"/>
        <v>90.660000000000011</v>
      </c>
      <c r="I65" s="36">
        <f t="shared" si="96"/>
        <v>117.29</v>
      </c>
      <c r="J65" s="38">
        <f t="shared" si="63"/>
        <v>0.29373483344363538</v>
      </c>
      <c r="K65" s="44"/>
      <c r="L65" s="17"/>
      <c r="N65" s="36">
        <v>19.619999999999997</v>
      </c>
      <c r="O65" s="36">
        <f>38.99-N65</f>
        <v>19.370000000000005</v>
      </c>
      <c r="P65" s="36">
        <v>18.920000000000002</v>
      </c>
      <c r="Q65" s="36">
        <f t="shared" si="97"/>
        <v>18.329999999999991</v>
      </c>
      <c r="R65" s="36">
        <v>18.830000000000002</v>
      </c>
      <c r="S65" s="36">
        <f>37.89-R65</f>
        <v>19.059999999999999</v>
      </c>
      <c r="T65" s="36">
        <v>18.8</v>
      </c>
      <c r="U65" s="36">
        <f>G65-SUM(R65:T65)</f>
        <v>18.519999999999996</v>
      </c>
      <c r="V65" s="36">
        <v>20.2</v>
      </c>
      <c r="W65" s="36">
        <v>22.44</v>
      </c>
      <c r="X65" s="36">
        <v>23.27</v>
      </c>
      <c r="Y65" s="36">
        <v>24.750000000000014</v>
      </c>
      <c r="Z65" s="36">
        <v>26.459999999999997</v>
      </c>
      <c r="AA65" s="36">
        <v>28.450000000000006</v>
      </c>
      <c r="AB65" s="36">
        <v>30.070000000000004</v>
      </c>
      <c r="AC65" s="36">
        <v>32.31</v>
      </c>
      <c r="AD65" s="69">
        <f t="shared" si="64"/>
        <v>0.30545454545454476</v>
      </c>
      <c r="AE65" s="69">
        <f t="shared" si="65"/>
        <v>7.4492850016627754E-2</v>
      </c>
      <c r="AF65" s="65"/>
      <c r="AG65" s="119"/>
      <c r="AH65" s="119"/>
    </row>
    <row r="66" spans="1:34" s="15" customFormat="1" x14ac:dyDescent="0.35">
      <c r="A66" s="15" t="s">
        <v>151</v>
      </c>
      <c r="B66" s="36">
        <v>7.59</v>
      </c>
      <c r="C66" s="36">
        <v>12.530000000000001</v>
      </c>
      <c r="D66" s="36">
        <v>16.609999999999996</v>
      </c>
      <c r="E66" s="36">
        <v>26.05</v>
      </c>
      <c r="F66" s="36">
        <v>8.15</v>
      </c>
      <c r="G66" s="36">
        <v>8.52</v>
      </c>
      <c r="H66" s="36">
        <f t="shared" si="95"/>
        <v>10.33</v>
      </c>
      <c r="I66" s="36">
        <f t="shared" si="96"/>
        <v>12.01</v>
      </c>
      <c r="J66" s="38">
        <f t="shared" si="63"/>
        <v>0.16263310745401749</v>
      </c>
      <c r="K66" s="44"/>
      <c r="L66" s="17"/>
      <c r="N66" s="36">
        <v>2.33</v>
      </c>
      <c r="O66" s="36">
        <v>2.09</v>
      </c>
      <c r="P66" s="36">
        <v>1.94</v>
      </c>
      <c r="Q66" s="36">
        <v>1.79</v>
      </c>
      <c r="R66" s="36">
        <v>1.91</v>
      </c>
      <c r="S66" s="36">
        <v>2.08</v>
      </c>
      <c r="T66" s="36">
        <v>2.29</v>
      </c>
      <c r="U66" s="36">
        <v>2.2400000000000002</v>
      </c>
      <c r="V66" s="36">
        <v>2.36</v>
      </c>
      <c r="W66" s="36">
        <v>2.5800000000000005</v>
      </c>
      <c r="X66" s="36">
        <v>2.5400000000000005</v>
      </c>
      <c r="Y66" s="36">
        <v>2.8499999999999996</v>
      </c>
      <c r="Z66" s="36">
        <v>2.8</v>
      </c>
      <c r="AA66" s="36">
        <v>2.76</v>
      </c>
      <c r="AB66" s="36">
        <v>3.1500000000000012</v>
      </c>
      <c r="AC66" s="36">
        <v>3.2999999999999989</v>
      </c>
      <c r="AD66" s="69">
        <f t="shared" si="64"/>
        <v>0.15789473684210509</v>
      </c>
      <c r="AE66" s="69">
        <f t="shared" si="65"/>
        <v>4.7619047619046784E-2</v>
      </c>
      <c r="AF66" s="65"/>
      <c r="AG66" s="119"/>
      <c r="AH66" s="119"/>
    </row>
    <row r="67" spans="1:34" s="2" customFormat="1" x14ac:dyDescent="0.35">
      <c r="A67" s="2" t="s">
        <v>206</v>
      </c>
      <c r="B67" s="4">
        <f t="shared" ref="B67:G67" si="98">B61-B62</f>
        <v>120.91999999999996</v>
      </c>
      <c r="C67" s="4">
        <f t="shared" si="98"/>
        <v>271.44000000000028</v>
      </c>
      <c r="D67" s="4">
        <f t="shared" si="98"/>
        <v>725.99999999999898</v>
      </c>
      <c r="E67" s="4">
        <f t="shared" si="98"/>
        <v>1238.3699999999999</v>
      </c>
      <c r="F67" s="4">
        <f t="shared" si="98"/>
        <v>1661.9599999999994</v>
      </c>
      <c r="G67" s="4">
        <f t="shared" si="98"/>
        <v>2513.1699999999992</v>
      </c>
      <c r="H67" s="4">
        <f t="shared" ref="H67:I67" si="99">H61-H62</f>
        <v>3167.4299999999989</v>
      </c>
      <c r="I67" s="4">
        <f t="shared" si="99"/>
        <v>4253.9199999999992</v>
      </c>
      <c r="J67" s="95">
        <f t="shared" si="63"/>
        <v>0.34301941952939785</v>
      </c>
      <c r="K67" s="44"/>
      <c r="L67" s="17"/>
      <c r="N67" s="4">
        <f>N61-N62</f>
        <v>572.22</v>
      </c>
      <c r="O67" s="4">
        <f t="shared" ref="O67:U67" si="100">O61-O62</f>
        <v>295.23</v>
      </c>
      <c r="P67" s="4">
        <f t="shared" si="100"/>
        <v>285.92000000000013</v>
      </c>
      <c r="Q67" s="4">
        <f t="shared" si="100"/>
        <v>508.59</v>
      </c>
      <c r="R67" s="4">
        <f t="shared" si="100"/>
        <v>606.70000000000005</v>
      </c>
      <c r="S67" s="4">
        <f t="shared" si="100"/>
        <v>596.35</v>
      </c>
      <c r="T67" s="4">
        <f>T61-T62</f>
        <v>651.16999999999996</v>
      </c>
      <c r="U67" s="4">
        <f t="shared" si="100"/>
        <v>658.95</v>
      </c>
      <c r="V67" s="4">
        <f t="shared" ref="V67:W67" si="101">V61-V62</f>
        <v>699.11999999999989</v>
      </c>
      <c r="W67" s="4">
        <f t="shared" si="101"/>
        <v>741.40999999999974</v>
      </c>
      <c r="X67" s="4">
        <f t="shared" ref="X67:Y67" si="102">X61-X62</f>
        <v>817.2999999999995</v>
      </c>
      <c r="Y67" s="4">
        <f t="shared" si="102"/>
        <v>909.59999999999945</v>
      </c>
      <c r="Z67" s="4">
        <f t="shared" ref="Z67:AA67" si="103">Z61-Z62</f>
        <v>977.16000000000008</v>
      </c>
      <c r="AA67" s="4">
        <f t="shared" si="103"/>
        <v>1044.3900000000026</v>
      </c>
      <c r="AB67" s="4">
        <f t="shared" ref="AB67:AC67" si="104">AB61-AB62</f>
        <v>1097.4799999999977</v>
      </c>
      <c r="AC67" s="4">
        <f t="shared" si="104"/>
        <v>1134.8899999999996</v>
      </c>
      <c r="AD67" s="71">
        <f t="shared" si="64"/>
        <v>0.24768029903254218</v>
      </c>
      <c r="AE67" s="71">
        <f t="shared" si="65"/>
        <v>3.4087181543173362E-2</v>
      </c>
      <c r="AF67" s="71"/>
      <c r="AG67" s="117"/>
      <c r="AH67" s="119"/>
    </row>
    <row r="68" spans="1:34" x14ac:dyDescent="0.35">
      <c r="A68" s="1" t="s">
        <v>45</v>
      </c>
      <c r="B68" s="26">
        <v>17.37</v>
      </c>
      <c r="C68" s="26">
        <v>28.74</v>
      </c>
      <c r="D68" s="26">
        <v>73.13</v>
      </c>
      <c r="E68" s="26">
        <v>165.04</v>
      </c>
      <c r="F68" s="26">
        <v>321.52999999999997</v>
      </c>
      <c r="G68" s="26">
        <f>250.22</f>
        <v>250.22</v>
      </c>
      <c r="H68" s="26">
        <f t="shared" si="95"/>
        <v>215.23</v>
      </c>
      <c r="I68" s="26">
        <f t="shared" si="96"/>
        <v>254.32000000000002</v>
      </c>
      <c r="J68" s="38">
        <f t="shared" si="63"/>
        <v>0.1816196626864286</v>
      </c>
      <c r="K68" s="44"/>
      <c r="L68" s="17"/>
      <c r="N68" s="26">
        <v>44.61</v>
      </c>
      <c r="O68" s="26">
        <f>164.13-N68</f>
        <v>119.52</v>
      </c>
      <c r="P68" s="26">
        <v>73.94</v>
      </c>
      <c r="Q68" s="26">
        <f t="shared" si="97"/>
        <v>83.45999999999998</v>
      </c>
      <c r="R68" s="26">
        <v>130.41999999999999</v>
      </c>
      <c r="S68" s="26">
        <f>163.69-R68</f>
        <v>33.27000000000001</v>
      </c>
      <c r="T68" s="26">
        <v>59.7</v>
      </c>
      <c r="U68" s="26">
        <v>26.83</v>
      </c>
      <c r="V68" s="26">
        <v>36.15</v>
      </c>
      <c r="W68" s="26">
        <v>49.68</v>
      </c>
      <c r="X68" s="26">
        <v>59.85</v>
      </c>
      <c r="Y68" s="26">
        <v>69.549999999999983</v>
      </c>
      <c r="Z68" s="26">
        <v>76.86</v>
      </c>
      <c r="AA68" s="26">
        <v>79.969999999999985</v>
      </c>
      <c r="AB68" s="26">
        <v>70.050000000000026</v>
      </c>
      <c r="AC68" s="26">
        <v>27.440000000000026</v>
      </c>
      <c r="AD68" s="69">
        <f t="shared" si="64"/>
        <v>-0.60546369518332088</v>
      </c>
      <c r="AE68" s="69">
        <f t="shared" si="65"/>
        <v>-0.60827980014275496</v>
      </c>
      <c r="AF68" s="69"/>
      <c r="AG68" s="119"/>
      <c r="AH68" s="119"/>
    </row>
    <row r="69" spans="1:34" s="2" customFormat="1" x14ac:dyDescent="0.35">
      <c r="A69" s="2" t="s">
        <v>46</v>
      </c>
      <c r="B69" s="4">
        <f t="shared" ref="B69:G69" si="105">B67-B68</f>
        <v>103.54999999999995</v>
      </c>
      <c r="C69" s="4">
        <f t="shared" si="105"/>
        <v>242.70000000000027</v>
      </c>
      <c r="D69" s="4">
        <f t="shared" si="105"/>
        <v>652.86999999999898</v>
      </c>
      <c r="E69" s="4">
        <f t="shared" si="105"/>
        <v>1073.33</v>
      </c>
      <c r="F69" s="4">
        <f t="shared" si="105"/>
        <v>1340.4299999999994</v>
      </c>
      <c r="G69" s="4">
        <f t="shared" si="105"/>
        <v>2262.9499999999994</v>
      </c>
      <c r="H69" s="4">
        <f t="shared" ref="H69:I69" si="106">H67-H68</f>
        <v>2952.1999999999989</v>
      </c>
      <c r="I69" s="4">
        <f t="shared" si="106"/>
        <v>3999.599999999999</v>
      </c>
      <c r="J69" s="95">
        <f t="shared" si="63"/>
        <v>0.35478626109342204</v>
      </c>
      <c r="K69" s="44"/>
      <c r="L69" s="17"/>
      <c r="N69" s="4">
        <f>N67-N68</f>
        <v>527.61</v>
      </c>
      <c r="O69" s="4">
        <f t="shared" ref="O69:U69" si="107">O67-O68</f>
        <v>175.71000000000004</v>
      </c>
      <c r="P69" s="4">
        <f t="shared" si="107"/>
        <v>211.98000000000013</v>
      </c>
      <c r="Q69" s="4">
        <f t="shared" si="107"/>
        <v>425.13</v>
      </c>
      <c r="R69" s="4">
        <f t="shared" si="107"/>
        <v>476.28000000000009</v>
      </c>
      <c r="S69" s="4">
        <f t="shared" si="107"/>
        <v>563.08000000000004</v>
      </c>
      <c r="T69" s="4">
        <f>T67-T68</f>
        <v>591.46999999999991</v>
      </c>
      <c r="U69" s="4">
        <f t="shared" si="107"/>
        <v>632.12</v>
      </c>
      <c r="V69" s="4">
        <f t="shared" ref="V69:W69" si="108">V67-V68</f>
        <v>662.96999999999991</v>
      </c>
      <c r="W69" s="4">
        <f t="shared" si="108"/>
        <v>691.72999999999979</v>
      </c>
      <c r="X69" s="4">
        <f t="shared" ref="X69:Y69" si="109">X67-X68</f>
        <v>757.44999999999948</v>
      </c>
      <c r="Y69" s="4">
        <f t="shared" si="109"/>
        <v>840.0499999999995</v>
      </c>
      <c r="Z69" s="4">
        <f t="shared" ref="Z69:AA69" si="110">Z67-Z68</f>
        <v>900.30000000000007</v>
      </c>
      <c r="AA69" s="4">
        <f t="shared" si="110"/>
        <v>964.42000000000257</v>
      </c>
      <c r="AB69" s="4">
        <f t="shared" ref="AB69:AC69" si="111">AB67-AB68</f>
        <v>1027.4299999999978</v>
      </c>
      <c r="AC69" s="4">
        <f t="shared" si="111"/>
        <v>1107.4499999999996</v>
      </c>
      <c r="AD69" s="71">
        <f t="shared" si="64"/>
        <v>0.31831438604844986</v>
      </c>
      <c r="AE69" s="71">
        <f t="shared" si="65"/>
        <v>7.7883651440975976E-2</v>
      </c>
      <c r="AF69" s="71"/>
      <c r="AG69" s="133"/>
      <c r="AH69" s="119"/>
    </row>
    <row r="70" spans="1:34" x14ac:dyDescent="0.35">
      <c r="A70" s="1" t="s">
        <v>47</v>
      </c>
      <c r="B70" s="26">
        <v>36.79</v>
      </c>
      <c r="C70" s="26">
        <v>82.74</v>
      </c>
      <c r="D70" s="26">
        <v>195.63</v>
      </c>
      <c r="E70" s="26">
        <v>277.81</v>
      </c>
      <c r="F70" s="26">
        <v>339.01</v>
      </c>
      <c r="G70" s="26">
        <v>522.1</v>
      </c>
      <c r="H70" s="26">
        <f t="shared" si="95"/>
        <v>669.28</v>
      </c>
      <c r="I70" s="26">
        <f t="shared" si="96"/>
        <v>942.43000000000006</v>
      </c>
      <c r="J70" s="38">
        <f t="shared" si="63"/>
        <v>0.40812514941429612</v>
      </c>
      <c r="K70" s="44"/>
      <c r="L70" s="17"/>
      <c r="N70" s="26">
        <v>141.47</v>
      </c>
      <c r="O70" s="26">
        <f>173.84-N70</f>
        <v>32.370000000000005</v>
      </c>
      <c r="P70" s="26">
        <v>52.89</v>
      </c>
      <c r="Q70" s="26">
        <f t="shared" si="97"/>
        <v>112.27999999999997</v>
      </c>
      <c r="R70" s="26">
        <v>125.22</v>
      </c>
      <c r="S70" s="26">
        <f>239.63-R70+17.7</f>
        <v>132.10999999999999</v>
      </c>
      <c r="T70" s="26">
        <v>132.1</v>
      </c>
      <c r="U70" s="26">
        <v>150.37</v>
      </c>
      <c r="V70" s="26">
        <v>150.5</v>
      </c>
      <c r="W70" s="26">
        <v>148.99</v>
      </c>
      <c r="X70" s="26">
        <v>170.01999999999998</v>
      </c>
      <c r="Y70" s="26">
        <v>199.76999999999998</v>
      </c>
      <c r="Z70" s="26">
        <v>209.08</v>
      </c>
      <c r="AA70" s="26">
        <v>221.34</v>
      </c>
      <c r="AB70" s="26">
        <v>239.21999999999994</v>
      </c>
      <c r="AC70" s="26">
        <v>272.79000000000008</v>
      </c>
      <c r="AD70" s="69">
        <f t="shared" si="64"/>
        <v>0.36552034840066128</v>
      </c>
      <c r="AE70" s="69">
        <f t="shared" si="65"/>
        <v>0.14033107599699091</v>
      </c>
      <c r="AF70" s="69"/>
      <c r="AG70" s="119"/>
      <c r="AH70" s="119"/>
    </row>
    <row r="71" spans="1:34" x14ac:dyDescent="0.35">
      <c r="A71" s="1" t="s">
        <v>200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-120.13</v>
      </c>
      <c r="H71" s="26">
        <f t="shared" si="95"/>
        <v>0</v>
      </c>
      <c r="I71" s="26">
        <f t="shared" si="96"/>
        <v>0</v>
      </c>
      <c r="J71" s="38"/>
      <c r="K71" s="44"/>
      <c r="L71" s="17"/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-17.7</v>
      </c>
      <c r="T71" s="26">
        <v>0</v>
      </c>
      <c r="U71" s="26">
        <v>-120.13</v>
      </c>
      <c r="V71" s="26"/>
      <c r="W71" s="109"/>
      <c r="X71" s="109"/>
      <c r="Y71" s="109"/>
      <c r="Z71" s="109"/>
      <c r="AA71" s="109"/>
      <c r="AB71" s="109"/>
      <c r="AC71" s="109"/>
      <c r="AD71" s="69"/>
      <c r="AE71" s="69"/>
      <c r="AF71" s="69"/>
      <c r="AH71" s="119"/>
    </row>
    <row r="72" spans="1:34" s="2" customFormat="1" x14ac:dyDescent="0.35">
      <c r="A72" s="2" t="s">
        <v>48</v>
      </c>
      <c r="B72" s="4">
        <f t="shared" ref="B72:G72" si="112">B69-B70-B71</f>
        <v>66.759999999999962</v>
      </c>
      <c r="C72" s="4">
        <f t="shared" si="112"/>
        <v>159.96000000000026</v>
      </c>
      <c r="D72" s="4">
        <f t="shared" si="112"/>
        <v>457.23999999999899</v>
      </c>
      <c r="E72" s="4">
        <f t="shared" si="112"/>
        <v>795.52</v>
      </c>
      <c r="F72" s="4">
        <f t="shared" si="112"/>
        <v>1001.4199999999994</v>
      </c>
      <c r="G72" s="4">
        <f t="shared" si="112"/>
        <v>1860.9799999999996</v>
      </c>
      <c r="H72" s="4">
        <f t="shared" ref="H72:I72" si="113">H69-H70-H71</f>
        <v>2282.9199999999992</v>
      </c>
      <c r="I72" s="4">
        <f t="shared" si="113"/>
        <v>3057.1699999999992</v>
      </c>
      <c r="J72" s="91">
        <f>I72/H72-1</f>
        <v>0.33914898463371479</v>
      </c>
      <c r="K72" s="44"/>
      <c r="L72" s="17"/>
      <c r="N72" s="4">
        <f t="shared" ref="N72:U72" si="114">N69-N70-N71</f>
        <v>386.14</v>
      </c>
      <c r="O72" s="4">
        <f t="shared" si="114"/>
        <v>143.34000000000003</v>
      </c>
      <c r="P72" s="4">
        <f t="shared" si="114"/>
        <v>159.09000000000015</v>
      </c>
      <c r="Q72" s="4">
        <f t="shared" si="114"/>
        <v>312.85000000000002</v>
      </c>
      <c r="R72" s="4">
        <f t="shared" si="114"/>
        <v>351.06000000000006</v>
      </c>
      <c r="S72" s="4">
        <f t="shared" si="114"/>
        <v>448.67</v>
      </c>
      <c r="T72" s="4">
        <f t="shared" si="114"/>
        <v>459.36999999999989</v>
      </c>
      <c r="U72" s="4">
        <f t="shared" si="114"/>
        <v>601.88</v>
      </c>
      <c r="V72" s="4">
        <f t="shared" ref="V72:W72" si="115">V69-V70-V71</f>
        <v>512.46999999999991</v>
      </c>
      <c r="W72" s="4">
        <f t="shared" si="115"/>
        <v>542.73999999999978</v>
      </c>
      <c r="X72" s="4">
        <f t="shared" ref="X72:Y72" si="116">X69-X70-X71</f>
        <v>587.4299999999995</v>
      </c>
      <c r="Y72" s="4">
        <f t="shared" si="116"/>
        <v>640.27999999999952</v>
      </c>
      <c r="Z72" s="4">
        <f t="shared" ref="Z72:AA72" si="117">Z69-Z70-Z71</f>
        <v>691.22</v>
      </c>
      <c r="AA72" s="4">
        <f t="shared" si="117"/>
        <v>743.08000000000254</v>
      </c>
      <c r="AB72" s="4">
        <f t="shared" ref="AB72:AC72" si="118">AB69-AB70-AB71</f>
        <v>788.20999999999788</v>
      </c>
      <c r="AC72" s="4">
        <f t="shared" si="118"/>
        <v>834.65999999999951</v>
      </c>
      <c r="AD72" s="71">
        <f>IFERROR(AC72/Y72-1,"")</f>
        <v>0.30358593115511989</v>
      </c>
      <c r="AE72" s="71">
        <f>IFERROR(AC72/AB72-1,"")</f>
        <v>5.8930995546874199E-2</v>
      </c>
      <c r="AF72" s="71"/>
      <c r="AG72" s="117"/>
      <c r="AH72" s="119"/>
    </row>
    <row r="73" spans="1:34" x14ac:dyDescent="0.35">
      <c r="A73" s="1" t="s">
        <v>144</v>
      </c>
      <c r="B73" s="26">
        <v>51.604999999999997</v>
      </c>
      <c r="C73" s="26">
        <v>51.615000000000002</v>
      </c>
      <c r="D73" s="26">
        <v>63.339999999999996</v>
      </c>
      <c r="E73" s="26">
        <v>78.300000000000011</v>
      </c>
      <c r="F73" s="26">
        <v>87.4</v>
      </c>
      <c r="G73" s="26">
        <f>87633703/(10^6)</f>
        <v>87.633702999999997</v>
      </c>
      <c r="H73" s="26">
        <f>Y73</f>
        <v>88.016767000000002</v>
      </c>
      <c r="I73" s="26">
        <f>AC73</f>
        <v>88.516166999999996</v>
      </c>
      <c r="J73" s="30">
        <f>I73/H73-1</f>
        <v>5.6739189250156752E-3</v>
      </c>
      <c r="K73" s="44"/>
      <c r="L73" s="17"/>
      <c r="N73" s="26">
        <f>78297715/(10^6)</f>
        <v>78.297714999999997</v>
      </c>
      <c r="O73" s="26">
        <f>78392895/(10^6)</f>
        <v>78.392894999999996</v>
      </c>
      <c r="P73" s="26">
        <f>82270961/(10^6)</f>
        <v>82.270961</v>
      </c>
      <c r="Q73" s="26">
        <f>F73</f>
        <v>87.4</v>
      </c>
      <c r="R73" s="26">
        <f>87499373/(10^6)</f>
        <v>87.499373000000006</v>
      </c>
      <c r="S73" s="26">
        <f>87523704/(10^6)</f>
        <v>87.523703999999995</v>
      </c>
      <c r="T73" s="26">
        <f>87586843/(10^6)</f>
        <v>87.586843000000002</v>
      </c>
      <c r="U73" s="26">
        <f>G73</f>
        <v>87.633702999999997</v>
      </c>
      <c r="V73" s="26">
        <f>87686355/(10^6)</f>
        <v>87.686355000000006</v>
      </c>
      <c r="W73" s="26">
        <f>87729939/10^6</f>
        <v>87.729939000000002</v>
      </c>
      <c r="X73" s="26">
        <f>87845934/10^6</f>
        <v>87.845934</v>
      </c>
      <c r="Y73" s="26">
        <f>88016767/10^6</f>
        <v>88.016767000000002</v>
      </c>
      <c r="Z73" s="26">
        <f>88108094/10^6</f>
        <v>88.108093999999994</v>
      </c>
      <c r="AA73" s="26">
        <f>88172052/10^6</f>
        <v>88.172051999999994</v>
      </c>
      <c r="AB73" s="26">
        <f>88352034/10^6</f>
        <v>88.352034000000003</v>
      </c>
      <c r="AC73" s="26">
        <f>88516167/10^6</f>
        <v>88.516166999999996</v>
      </c>
      <c r="AD73" s="69">
        <f>IFERROR(AC73/Y73-1,"")</f>
        <v>5.6739189250156752E-3</v>
      </c>
      <c r="AE73" s="69">
        <f>IFERROR(AC73/AB73-1,"")</f>
        <v>1.8577161449389035E-3</v>
      </c>
      <c r="AF73" s="69"/>
      <c r="AH73" s="111"/>
    </row>
    <row r="74" spans="1:34" x14ac:dyDescent="0.35">
      <c r="A74" s="1" t="s">
        <v>183</v>
      </c>
      <c r="B74" s="35">
        <v>3.53</v>
      </c>
      <c r="C74" s="35">
        <v>3.1</v>
      </c>
      <c r="D74" s="35">
        <v>7.91</v>
      </c>
      <c r="E74" s="35">
        <v>10.81</v>
      </c>
      <c r="F74" s="35">
        <v>12.37</v>
      </c>
      <c r="G74" s="35">
        <v>21.26</v>
      </c>
      <c r="H74" s="35">
        <v>26.01</v>
      </c>
      <c r="I74" s="35">
        <v>34.65</v>
      </c>
      <c r="J74" s="30">
        <f>I74/H74-1</f>
        <v>0.33217993079584751</v>
      </c>
      <c r="K74" s="44"/>
      <c r="L74" s="17"/>
      <c r="N74" s="35">
        <v>4.93</v>
      </c>
      <c r="O74" s="35">
        <v>1.83</v>
      </c>
      <c r="P74" s="35">
        <v>1.95</v>
      </c>
      <c r="Q74" s="35">
        <v>3.65</v>
      </c>
      <c r="R74" s="35">
        <v>4.01</v>
      </c>
      <c r="S74" s="35">
        <v>5.13</v>
      </c>
      <c r="T74" s="35">
        <v>5.25</v>
      </c>
      <c r="U74" s="35">
        <v>6.87</v>
      </c>
      <c r="V74" s="35">
        <v>5.85</v>
      </c>
      <c r="W74" s="35">
        <v>6.19</v>
      </c>
      <c r="X74" s="35">
        <v>6.69</v>
      </c>
      <c r="Y74" s="35">
        <v>7.28</v>
      </c>
      <c r="Z74" s="35">
        <v>7.8479999999999999</v>
      </c>
      <c r="AA74" s="35">
        <v>8.43</v>
      </c>
      <c r="AB74" s="35">
        <v>8.93</v>
      </c>
      <c r="AC74" s="35">
        <v>9.43</v>
      </c>
      <c r="AD74" s="69">
        <f>IFERROR(AC74/Y74-1,"")</f>
        <v>0.29532967032967017</v>
      </c>
      <c r="AE74" s="69">
        <f>IFERROR(AC74/AB74-1,"")</f>
        <v>5.5991041433370636E-2</v>
      </c>
      <c r="AF74" s="69"/>
    </row>
    <row r="75" spans="1:34" s="2" customFormat="1" x14ac:dyDescent="0.35">
      <c r="A75" s="2" t="s">
        <v>30</v>
      </c>
      <c r="B75" s="4">
        <f t="shared" ref="B75:H75" si="119">B154/B73</f>
        <v>59.36595291153958</v>
      </c>
      <c r="C75" s="4">
        <f t="shared" si="119"/>
        <v>63.007846556233652</v>
      </c>
      <c r="D75" s="4">
        <f t="shared" si="119"/>
        <v>82.516735080517819</v>
      </c>
      <c r="E75" s="4">
        <f t="shared" si="119"/>
        <v>119.21149425287355</v>
      </c>
      <c r="F75" s="4">
        <f t="shared" si="119"/>
        <v>157.95686498855835</v>
      </c>
      <c r="G75" s="4">
        <f t="shared" si="119"/>
        <v>179.57531704440242</v>
      </c>
      <c r="H75" s="4">
        <f t="shared" si="119"/>
        <v>206.47645465096443</v>
      </c>
      <c r="I75" s="4">
        <f t="shared" ref="I75" si="120">I154/I73</f>
        <v>239.67203640889699</v>
      </c>
      <c r="J75" s="91">
        <f>I75/H75-1</f>
        <v>0.16077175392248777</v>
      </c>
      <c r="K75" s="44"/>
      <c r="L75" s="17"/>
      <c r="N75" s="4">
        <f t="shared" ref="N75:AB75" si="121">N154/N73</f>
        <v>124.2227822357268</v>
      </c>
      <c r="O75" s="4">
        <f t="shared" si="121"/>
        <v>126.02864073332157</v>
      </c>
      <c r="P75" s="4">
        <f t="shared" si="121"/>
        <v>132.73869500564118</v>
      </c>
      <c r="Q75" s="4">
        <f t="shared" si="121"/>
        <v>157.95686498855835</v>
      </c>
      <c r="R75" s="4">
        <f t="shared" si="121"/>
        <v>161.97418923219024</v>
      </c>
      <c r="S75" s="4">
        <f t="shared" si="121"/>
        <v>167.11906982364457</v>
      </c>
      <c r="T75" s="4">
        <f t="shared" si="121"/>
        <v>172.40306286641703</v>
      </c>
      <c r="U75" s="4">
        <f t="shared" si="121"/>
        <v>179.57531704440242</v>
      </c>
      <c r="V75" s="4">
        <f t="shared" si="121"/>
        <v>185.65271643461514</v>
      </c>
      <c r="W75" s="4">
        <f t="shared" si="121"/>
        <v>192.13725886666811</v>
      </c>
      <c r="X75" s="4">
        <f t="shared" si="121"/>
        <v>199.02230193147014</v>
      </c>
      <c r="Y75" s="4">
        <f t="shared" si="121"/>
        <v>206.47645465096443</v>
      </c>
      <c r="Z75" s="4">
        <f t="shared" si="121"/>
        <v>212.00912597201344</v>
      </c>
      <c r="AA75" s="4">
        <f t="shared" si="121"/>
        <v>220.78787505138254</v>
      </c>
      <c r="AB75" s="4">
        <f t="shared" si="121"/>
        <v>229.96686188345143</v>
      </c>
      <c r="AC75" s="4">
        <f t="shared" ref="AC75" si="122">AC154/AC73</f>
        <v>239.67203640889699</v>
      </c>
      <c r="AD75" s="69">
        <f>IFERROR(AC75/Y75-1,"")</f>
        <v>0.16077175392248777</v>
      </c>
      <c r="AE75" s="69">
        <f>IFERROR(AC75/AB75-1,"")</f>
        <v>4.2202491463157799E-2</v>
      </c>
      <c r="AF75" s="71"/>
      <c r="AG75" s="1"/>
    </row>
    <row r="76" spans="1:34" s="2" customFormat="1" x14ac:dyDescent="0.35">
      <c r="A76" s="2" t="s">
        <v>207</v>
      </c>
      <c r="B76" s="4"/>
      <c r="C76" s="4"/>
      <c r="D76" s="4"/>
      <c r="E76" s="4"/>
      <c r="F76" s="4">
        <f>F72+F71</f>
        <v>1001.4199999999994</v>
      </c>
      <c r="G76" s="4">
        <f>G72+G71</f>
        <v>1740.8499999999995</v>
      </c>
      <c r="H76" s="4">
        <f>H72+H71</f>
        <v>2282.9199999999992</v>
      </c>
      <c r="I76" s="4">
        <f>I72+I71</f>
        <v>3057.1699999999992</v>
      </c>
      <c r="J76" s="12">
        <f>I76/H76-1</f>
        <v>0.33914898463371479</v>
      </c>
      <c r="K76" s="44"/>
      <c r="L76" s="17"/>
      <c r="N76" s="4"/>
      <c r="O76" s="4"/>
      <c r="P76" s="4"/>
      <c r="Q76" s="4">
        <f t="shared" ref="Q76:W76" si="123">Q72+Q71</f>
        <v>312.85000000000002</v>
      </c>
      <c r="R76" s="4">
        <f t="shared" si="123"/>
        <v>351.06000000000006</v>
      </c>
      <c r="S76" s="4">
        <f t="shared" si="123"/>
        <v>430.97</v>
      </c>
      <c r="T76" s="4">
        <f t="shared" si="123"/>
        <v>459.36999999999989</v>
      </c>
      <c r="U76" s="4">
        <f t="shared" si="123"/>
        <v>481.75</v>
      </c>
      <c r="V76" s="4">
        <f t="shared" si="123"/>
        <v>512.46999999999991</v>
      </c>
      <c r="W76" s="4">
        <f t="shared" si="123"/>
        <v>542.73999999999978</v>
      </c>
      <c r="X76" s="4">
        <f t="shared" ref="X76:Y76" si="124">X72+X71</f>
        <v>587.4299999999995</v>
      </c>
      <c r="Y76" s="4">
        <f t="shared" si="124"/>
        <v>640.27999999999952</v>
      </c>
      <c r="Z76" s="4">
        <f t="shared" ref="Z76:AA76" si="125">Z72+Z71</f>
        <v>691.22</v>
      </c>
      <c r="AA76" s="4">
        <f t="shared" si="125"/>
        <v>743.08000000000254</v>
      </c>
      <c r="AB76" s="4">
        <f t="shared" ref="AB76:AC76" si="126">AB72+AB71</f>
        <v>788.20999999999788</v>
      </c>
      <c r="AC76" s="4">
        <f t="shared" si="126"/>
        <v>834.65999999999951</v>
      </c>
      <c r="AD76" s="71">
        <f>IFERROR(AC76/Y76-1,"")</f>
        <v>0.30358593115511989</v>
      </c>
      <c r="AE76" s="71">
        <f>IFERROR(AC76/AB76-1,"")</f>
        <v>5.8930995546874199E-2</v>
      </c>
      <c r="AF76" s="71"/>
      <c r="AG76" s="1"/>
    </row>
    <row r="77" spans="1:34" s="2" customFormat="1" x14ac:dyDescent="0.35">
      <c r="B77" s="4"/>
      <c r="C77" s="4"/>
      <c r="D77" s="4"/>
      <c r="E77" s="4"/>
      <c r="F77" s="4"/>
      <c r="G77" s="4"/>
      <c r="H77" s="4"/>
      <c r="I77" s="4"/>
      <c r="J77" s="4"/>
      <c r="K77" s="44"/>
      <c r="L77" s="17"/>
      <c r="N77" s="4"/>
      <c r="O77" s="4"/>
      <c r="P77" s="34"/>
      <c r="Q77" s="4"/>
      <c r="R77" s="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70"/>
      <c r="AE77" s="70"/>
      <c r="AF77" s="70"/>
    </row>
    <row r="78" spans="1:34" s="2" customFormat="1" x14ac:dyDescent="0.35">
      <c r="B78" s="4"/>
      <c r="C78" s="4"/>
      <c r="D78" s="4"/>
      <c r="E78" s="4"/>
      <c r="F78" s="12"/>
      <c r="G78" s="12"/>
      <c r="H78" s="12"/>
      <c r="I78" s="12"/>
      <c r="J78" s="12"/>
      <c r="K78" s="93"/>
      <c r="L78" s="17"/>
      <c r="M78" s="94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70"/>
      <c r="AE78" s="70"/>
      <c r="AF78" s="70"/>
    </row>
    <row r="79" spans="1:34" s="2" customFormat="1" x14ac:dyDescent="0.35">
      <c r="A79" s="2" t="s">
        <v>222</v>
      </c>
      <c r="B79" s="24" t="str">
        <f>A298</f>
        <v>Reclassification Items included under line items as below</v>
      </c>
      <c r="C79" s="24"/>
      <c r="D79" s="24"/>
      <c r="E79" s="24"/>
      <c r="F79" s="78"/>
      <c r="G79" s="78"/>
      <c r="H79" s="78"/>
      <c r="I79" s="78"/>
      <c r="J79" s="24"/>
      <c r="N79" s="24"/>
      <c r="O79" s="24"/>
      <c r="P79" s="43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0"/>
      <c r="AE79" s="70"/>
      <c r="AF79" s="70"/>
    </row>
    <row r="80" spans="1:34" s="2" customFormat="1" x14ac:dyDescent="0.35">
      <c r="A80" s="1" t="s">
        <v>195</v>
      </c>
      <c r="B80" s="26">
        <v>7.47</v>
      </c>
      <c r="C80" s="26">
        <v>14.45</v>
      </c>
      <c r="D80" s="26">
        <v>33.380000000000003</v>
      </c>
      <c r="E80" s="26">
        <v>38.4</v>
      </c>
      <c r="F80" s="26">
        <v>16.739999999999998</v>
      </c>
      <c r="G80" s="26">
        <v>13.18</v>
      </c>
      <c r="H80" s="26">
        <f>SUM(V80:Y80)</f>
        <v>104.08000000000001</v>
      </c>
      <c r="I80" s="26">
        <f>SUM(Z80:AC80)</f>
        <v>99.33</v>
      </c>
      <c r="J80" s="38"/>
      <c r="K80" s="1"/>
      <c r="L80" s="1"/>
      <c r="M80" s="1"/>
      <c r="N80" s="35">
        <v>1.25</v>
      </c>
      <c r="O80" s="35">
        <v>7.71</v>
      </c>
      <c r="P80" s="35">
        <v>0.05</v>
      </c>
      <c r="Q80" s="35">
        <v>7.73</v>
      </c>
      <c r="R80" s="35">
        <v>2.2000000000000002</v>
      </c>
      <c r="S80" s="35">
        <v>2.36</v>
      </c>
      <c r="T80" s="35">
        <v>-7.0000000000000007E-2</v>
      </c>
      <c r="U80" s="35">
        <v>8.69</v>
      </c>
      <c r="V80" s="35">
        <v>15.43</v>
      </c>
      <c r="W80" s="35">
        <v>23.270000000000003</v>
      </c>
      <c r="X80" s="35">
        <v>28.89</v>
      </c>
      <c r="Y80" s="35">
        <v>36.490000000000009</v>
      </c>
      <c r="Z80" s="35">
        <v>22.729999999999997</v>
      </c>
      <c r="AA80" s="35">
        <v>23.060000000000002</v>
      </c>
      <c r="AB80" s="35">
        <v>24.470000000000006</v>
      </c>
      <c r="AC80" s="35">
        <v>29.069999999999993</v>
      </c>
      <c r="AD80" s="69">
        <f t="shared" ref="AD80:AD86" si="127">IFERROR(AC80/Y80-1,"")</f>
        <v>-0.20334338174842459</v>
      </c>
      <c r="AE80" s="69">
        <f t="shared" ref="AE80:AE86" si="128">IFERROR(AC80/AB80-1,"")</f>
        <v>0.18798528810788673</v>
      </c>
      <c r="AF80" s="76"/>
      <c r="AG80" s="1"/>
      <c r="AH80" s="110"/>
    </row>
    <row r="81" spans="1:36" s="2" customFormat="1" x14ac:dyDescent="0.35">
      <c r="A81" s="1" t="s">
        <v>196</v>
      </c>
      <c r="B81" s="26">
        <v>2.4500000000000002</v>
      </c>
      <c r="C81" s="26">
        <v>6.89</v>
      </c>
      <c r="D81" s="26">
        <v>31.37</v>
      </c>
      <c r="E81" s="26">
        <v>28.57</v>
      </c>
      <c r="F81" s="26">
        <v>13.91</v>
      </c>
      <c r="G81" s="26">
        <v>11.51</v>
      </c>
      <c r="H81" s="26">
        <f t="shared" ref="H81:H85" si="129">SUM(V81:Y81)</f>
        <v>24.349999999999998</v>
      </c>
      <c r="I81" s="26">
        <f t="shared" ref="I81:I85" si="130">SUM(Z81:AC81)</f>
        <v>45.849999999999994</v>
      </c>
      <c r="J81" s="38"/>
      <c r="K81" s="1"/>
      <c r="L81" s="1"/>
      <c r="M81" s="1"/>
      <c r="N81" s="35">
        <v>0.82</v>
      </c>
      <c r="O81" s="35">
        <v>1.84</v>
      </c>
      <c r="P81" s="35">
        <v>3.22</v>
      </c>
      <c r="Q81" s="35">
        <v>8.0299999999999994</v>
      </c>
      <c r="R81" s="35">
        <v>1.9</v>
      </c>
      <c r="S81" s="35">
        <v>1.96</v>
      </c>
      <c r="T81" s="35">
        <v>2.37</v>
      </c>
      <c r="U81" s="35">
        <v>5.28</v>
      </c>
      <c r="V81" s="35">
        <v>11.54</v>
      </c>
      <c r="W81" s="35">
        <v>3.9700000000000024</v>
      </c>
      <c r="X81" s="35">
        <v>4.41</v>
      </c>
      <c r="Y81" s="35">
        <v>4.4299999999999962</v>
      </c>
      <c r="Z81" s="35">
        <v>16.79</v>
      </c>
      <c r="AA81" s="35">
        <v>11.590000000000003</v>
      </c>
      <c r="AB81" s="35">
        <v>6.53</v>
      </c>
      <c r="AC81" s="35">
        <v>10.939999999999991</v>
      </c>
      <c r="AD81" s="69">
        <f t="shared" si="127"/>
        <v>1.4695259593679459</v>
      </c>
      <c r="AE81" s="69">
        <f t="shared" si="128"/>
        <v>0.67534456355283168</v>
      </c>
      <c r="AF81" s="76"/>
      <c r="AG81" s="1"/>
      <c r="AH81" s="110"/>
    </row>
    <row r="82" spans="1:36" s="2" customFormat="1" x14ac:dyDescent="0.35">
      <c r="A82" s="1" t="s">
        <v>197</v>
      </c>
      <c r="B82" s="26">
        <v>15.56</v>
      </c>
      <c r="C82" s="26">
        <v>12.28</v>
      </c>
      <c r="D82" s="26">
        <v>21.64</v>
      </c>
      <c r="E82" s="26">
        <v>70.17</v>
      </c>
      <c r="F82" s="26">
        <v>124.47</v>
      </c>
      <c r="G82" s="26">
        <v>127.78</v>
      </c>
      <c r="H82" s="26">
        <f t="shared" si="129"/>
        <v>162.34</v>
      </c>
      <c r="I82" s="26">
        <f t="shared" si="130"/>
        <v>343.3</v>
      </c>
      <c r="J82" s="38"/>
      <c r="K82" s="1"/>
      <c r="L82" s="1"/>
      <c r="M82" s="1"/>
      <c r="N82" s="35">
        <v>21.2</v>
      </c>
      <c r="O82" s="35">
        <f>51.23-N82</f>
        <v>30.029999999999998</v>
      </c>
      <c r="P82" s="35">
        <v>30.94</v>
      </c>
      <c r="Q82" s="35">
        <v>42.3</v>
      </c>
      <c r="R82" s="35">
        <v>46.52</v>
      </c>
      <c r="S82" s="35">
        <f>77.79-R82</f>
        <v>31.270000000000003</v>
      </c>
      <c r="T82" s="35">
        <v>28.14</v>
      </c>
      <c r="U82" s="35">
        <v>21.85</v>
      </c>
      <c r="V82" s="35">
        <v>26.39</v>
      </c>
      <c r="W82" s="35">
        <v>19.189999999999998</v>
      </c>
      <c r="X82" s="35">
        <v>21.680000000000007</v>
      </c>
      <c r="Y82" s="35">
        <v>95.08</v>
      </c>
      <c r="Z82" s="35">
        <v>74.83</v>
      </c>
      <c r="AA82" s="35">
        <v>85.060000000000016</v>
      </c>
      <c r="AB82" s="35">
        <v>80.949999999999974</v>
      </c>
      <c r="AC82" s="35">
        <v>102.46000000000004</v>
      </c>
      <c r="AD82" s="69">
        <f t="shared" si="127"/>
        <v>7.761884728649604E-2</v>
      </c>
      <c r="AE82" s="69">
        <f t="shared" si="128"/>
        <v>0.2657195799876475</v>
      </c>
      <c r="AF82" s="76"/>
      <c r="AG82" s="1"/>
      <c r="AH82" s="110"/>
    </row>
    <row r="83" spans="1:36" s="2" customFormat="1" x14ac:dyDescent="0.35">
      <c r="A83" s="1" t="s">
        <v>246</v>
      </c>
      <c r="B83" s="26">
        <v>0</v>
      </c>
      <c r="C83" s="26">
        <v>4.75</v>
      </c>
      <c r="D83" s="26">
        <v>36.909999999999997</v>
      </c>
      <c r="E83" s="26">
        <v>121.69</v>
      </c>
      <c r="F83" s="26">
        <v>120</v>
      </c>
      <c r="G83" s="26">
        <v>136.72</v>
      </c>
      <c r="H83" s="26">
        <f t="shared" si="129"/>
        <v>178.81</v>
      </c>
      <c r="I83" s="26">
        <f t="shared" si="130"/>
        <v>321.3</v>
      </c>
      <c r="J83" s="38"/>
      <c r="K83" s="1"/>
      <c r="L83" s="1"/>
      <c r="M83" s="1"/>
      <c r="N83" s="35">
        <v>27.85</v>
      </c>
      <c r="O83" s="35">
        <f>60.27-N83</f>
        <v>32.42</v>
      </c>
      <c r="P83" s="35">
        <f>83.02-60.27</f>
        <v>22.749999999999993</v>
      </c>
      <c r="Q83" s="35">
        <v>36.979999999999997</v>
      </c>
      <c r="R83" s="35">
        <v>38.69</v>
      </c>
      <c r="S83" s="35">
        <f>84.57-R83</f>
        <v>45.879999999999995</v>
      </c>
      <c r="T83" s="35">
        <f>117.13-84.57</f>
        <v>32.56</v>
      </c>
      <c r="U83" s="35">
        <f>G83-SUM(R83:T83)</f>
        <v>19.590000000000003</v>
      </c>
      <c r="V83" s="35">
        <v>28.55</v>
      </c>
      <c r="W83" s="35">
        <v>59.19</v>
      </c>
      <c r="X83" s="35">
        <v>65.73</v>
      </c>
      <c r="Y83" s="35">
        <v>25.340000000000003</v>
      </c>
      <c r="Z83" s="35">
        <v>71.81</v>
      </c>
      <c r="AA83" s="35">
        <v>56.25</v>
      </c>
      <c r="AB83" s="35">
        <v>80.14</v>
      </c>
      <c r="AC83" s="35">
        <v>113.10000000000002</v>
      </c>
      <c r="AD83" s="69">
        <f t="shared" si="127"/>
        <v>3.4632991318074193</v>
      </c>
      <c r="AE83" s="69">
        <f t="shared" si="128"/>
        <v>0.41128025954579517</v>
      </c>
      <c r="AF83" s="76"/>
      <c r="AG83" s="1"/>
      <c r="AH83" s="110"/>
    </row>
    <row r="84" spans="1:36" s="2" customFormat="1" x14ac:dyDescent="0.35">
      <c r="A84" s="1" t="s">
        <v>199</v>
      </c>
      <c r="B84" s="35">
        <v>12.59</v>
      </c>
      <c r="C84" s="35">
        <v>12.83</v>
      </c>
      <c r="D84" s="35">
        <v>9.49</v>
      </c>
      <c r="E84" s="26">
        <v>53.24</v>
      </c>
      <c r="F84" s="26">
        <v>115.4</v>
      </c>
      <c r="G84" s="26">
        <v>218.73</v>
      </c>
      <c r="H84" s="26">
        <f t="shared" si="129"/>
        <v>234.93000000000021</v>
      </c>
      <c r="I84" s="26">
        <f t="shared" si="130"/>
        <v>237.46</v>
      </c>
      <c r="J84" s="38"/>
      <c r="K84" s="1"/>
      <c r="L84" s="1"/>
      <c r="M84" s="1"/>
      <c r="N84" s="35">
        <v>16.899999999999977</v>
      </c>
      <c r="O84" s="35">
        <v>38.5</v>
      </c>
      <c r="P84" s="35">
        <v>23.56</v>
      </c>
      <c r="Q84" s="35">
        <v>36.44</v>
      </c>
      <c r="R84" s="35">
        <v>43.59</v>
      </c>
      <c r="S84" s="35">
        <v>54.6</v>
      </c>
      <c r="T84" s="35">
        <v>63.61</v>
      </c>
      <c r="U84" s="35">
        <v>56.93</v>
      </c>
      <c r="V84" s="35">
        <v>62.65</v>
      </c>
      <c r="W84" s="35">
        <v>57.88</v>
      </c>
      <c r="X84" s="35">
        <v>56.57</v>
      </c>
      <c r="Y84" s="35">
        <v>57.830000000000211</v>
      </c>
      <c r="Z84" s="35">
        <v>72.429999999999993</v>
      </c>
      <c r="AA84" s="35">
        <v>58.19</v>
      </c>
      <c r="AB84" s="35">
        <v>55.780000000000015</v>
      </c>
      <c r="AC84" s="35">
        <v>51.059999999999974</v>
      </c>
      <c r="AD84" s="69">
        <f t="shared" si="127"/>
        <v>-0.11706726612485241</v>
      </c>
      <c r="AE84" s="69">
        <f t="shared" si="128"/>
        <v>-8.4618142703478672E-2</v>
      </c>
      <c r="AF84" s="76"/>
      <c r="AG84" s="1"/>
      <c r="AH84" s="114"/>
    </row>
    <row r="85" spans="1:36" s="2" customFormat="1" x14ac:dyDescent="0.35">
      <c r="A85" s="1" t="s">
        <v>228</v>
      </c>
      <c r="B85" s="26"/>
      <c r="C85" s="26">
        <v>16.7</v>
      </c>
      <c r="D85" s="26">
        <v>73.540000000000006</v>
      </c>
      <c r="E85" s="26">
        <v>88.48</v>
      </c>
      <c r="F85" s="26">
        <v>0.43</v>
      </c>
      <c r="G85" s="26">
        <v>0.31</v>
      </c>
      <c r="H85" s="26">
        <f t="shared" si="129"/>
        <v>46.13</v>
      </c>
      <c r="I85" s="26">
        <f t="shared" si="130"/>
        <v>190.99</v>
      </c>
      <c r="J85" s="38"/>
      <c r="K85" s="1"/>
      <c r="L85" s="1"/>
      <c r="M85" s="1"/>
      <c r="N85" s="35">
        <v>0.1</v>
      </c>
      <c r="O85" s="35">
        <v>0.06</v>
      </c>
      <c r="P85" s="35">
        <v>0.27</v>
      </c>
      <c r="Q85" s="97">
        <v>0</v>
      </c>
      <c r="R85" s="35">
        <v>0.1</v>
      </c>
      <c r="S85" s="35">
        <f>0.1-R85</f>
        <v>0</v>
      </c>
      <c r="T85" s="35">
        <v>0.16</v>
      </c>
      <c r="U85" s="35">
        <f>G85-SUM(R85:T85)</f>
        <v>4.9999999999999989E-2</v>
      </c>
      <c r="V85" s="35">
        <v>0</v>
      </c>
      <c r="W85" s="35">
        <v>0.09</v>
      </c>
      <c r="X85" s="35">
        <v>1.45</v>
      </c>
      <c r="Y85" s="35">
        <v>44.59</v>
      </c>
      <c r="Z85" s="35">
        <v>47.599999999999994</v>
      </c>
      <c r="AA85" s="35">
        <v>46.500000000000014</v>
      </c>
      <c r="AB85" s="35">
        <v>47.029999999999987</v>
      </c>
      <c r="AC85" s="35">
        <v>49.860000000000014</v>
      </c>
      <c r="AD85" s="69">
        <f t="shared" si="127"/>
        <v>0.11818793451446541</v>
      </c>
      <c r="AE85" s="69">
        <f t="shared" si="128"/>
        <v>6.0174356793536665E-2</v>
      </c>
      <c r="AF85" s="76"/>
      <c r="AG85" s="1"/>
      <c r="AH85" s="110"/>
    </row>
    <row r="86" spans="1:36" s="2" customFormat="1" x14ac:dyDescent="0.35">
      <c r="A86" s="2" t="s">
        <v>35</v>
      </c>
      <c r="B86" s="4">
        <f t="shared" ref="B86:H86" si="131">SUM(B80:B85)</f>
        <v>38.07</v>
      </c>
      <c r="C86" s="4">
        <f t="shared" si="131"/>
        <v>67.899999999999991</v>
      </c>
      <c r="D86" s="4">
        <f t="shared" si="131"/>
        <v>206.32999999999998</v>
      </c>
      <c r="E86" s="4">
        <f t="shared" si="131"/>
        <v>400.55</v>
      </c>
      <c r="F86" s="4">
        <f t="shared" si="131"/>
        <v>390.95</v>
      </c>
      <c r="G86" s="4">
        <f t="shared" si="131"/>
        <v>508.22999999999996</v>
      </c>
      <c r="H86" s="4">
        <f t="shared" si="131"/>
        <v>750.64000000000021</v>
      </c>
      <c r="I86" s="4">
        <f t="shared" ref="I86" si="132">SUM(I80:I85)</f>
        <v>1238.23</v>
      </c>
      <c r="J86" s="95"/>
      <c r="N86" s="4">
        <f t="shared" ref="N86:AB86" si="133">SUM(N80:N85)</f>
        <v>68.119999999999976</v>
      </c>
      <c r="O86" s="4">
        <f t="shared" si="133"/>
        <v>110.56</v>
      </c>
      <c r="P86" s="4">
        <f t="shared" si="133"/>
        <v>80.789999999999992</v>
      </c>
      <c r="Q86" s="4">
        <f t="shared" si="133"/>
        <v>131.47999999999999</v>
      </c>
      <c r="R86" s="4">
        <f t="shared" si="133"/>
        <v>133</v>
      </c>
      <c r="S86" s="4">
        <f t="shared" si="133"/>
        <v>136.07</v>
      </c>
      <c r="T86" s="4">
        <f t="shared" si="133"/>
        <v>126.77</v>
      </c>
      <c r="U86" s="4">
        <f t="shared" si="133"/>
        <v>112.39</v>
      </c>
      <c r="V86" s="4">
        <f t="shared" si="133"/>
        <v>144.56</v>
      </c>
      <c r="W86" s="4">
        <f t="shared" si="133"/>
        <v>163.59</v>
      </c>
      <c r="X86" s="4">
        <f t="shared" si="133"/>
        <v>178.73</v>
      </c>
      <c r="Y86" s="4">
        <f t="shared" si="133"/>
        <v>263.76000000000022</v>
      </c>
      <c r="Z86" s="4">
        <f t="shared" si="133"/>
        <v>306.18999999999994</v>
      </c>
      <c r="AA86" s="4">
        <f t="shared" si="133"/>
        <v>280.65000000000003</v>
      </c>
      <c r="AB86" s="4">
        <f t="shared" si="133"/>
        <v>294.89999999999998</v>
      </c>
      <c r="AC86" s="4">
        <f t="shared" ref="AC86" si="134">SUM(AC80:AC85)</f>
        <v>356.49</v>
      </c>
      <c r="AD86" s="71">
        <f t="shared" si="127"/>
        <v>0.3515696087352127</v>
      </c>
      <c r="AE86" s="71">
        <f t="shared" si="128"/>
        <v>0.20885045778229916</v>
      </c>
      <c r="AF86" s="76"/>
    </row>
    <row r="87" spans="1:36" x14ac:dyDescent="0.35">
      <c r="F87" s="7"/>
      <c r="G87" s="7"/>
      <c r="H87" s="39"/>
      <c r="I87" s="39"/>
      <c r="J87" s="7"/>
      <c r="N87" s="39"/>
      <c r="O87" s="39"/>
      <c r="Q87" s="39"/>
      <c r="R87" s="39"/>
    </row>
    <row r="88" spans="1:36" x14ac:dyDescent="0.35">
      <c r="N88" s="51"/>
      <c r="O88" s="51"/>
      <c r="P88" s="83"/>
      <c r="Q88" s="51"/>
      <c r="R88" s="51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36" s="8" customFormat="1" x14ac:dyDescent="0.35">
      <c r="A89" s="8" t="s">
        <v>81</v>
      </c>
      <c r="B89" s="37">
        <f t="shared" ref="B89:H89" si="135">B62/B58</f>
        <v>0.28609803771689396</v>
      </c>
      <c r="C89" s="37">
        <f t="shared" si="135"/>
        <v>0.31572517264241601</v>
      </c>
      <c r="D89" s="37">
        <f t="shared" si="135"/>
        <v>0.27134497313891032</v>
      </c>
      <c r="E89" s="37">
        <f t="shared" si="135"/>
        <v>0.24927622565080124</v>
      </c>
      <c r="F89" s="37">
        <f t="shared" si="135"/>
        <v>0.21747645458243814</v>
      </c>
      <c r="G89" s="37">
        <f t="shared" si="135"/>
        <v>0.2175067693356231</v>
      </c>
      <c r="H89" s="37">
        <f t="shared" si="135"/>
        <v>0.22071322451790984</v>
      </c>
      <c r="I89" s="37">
        <f t="shared" ref="I89" si="136">I62/I58</f>
        <v>0.20102287416399711</v>
      </c>
      <c r="J89" s="37"/>
      <c r="N89" s="37">
        <f t="shared" ref="N89:AB89" si="137">N62/N58</f>
        <v>0.17281200408281863</v>
      </c>
      <c r="O89" s="37">
        <f t="shared" si="137"/>
        <v>0.21237075502044941</v>
      </c>
      <c r="P89" s="37">
        <f t="shared" si="137"/>
        <v>0.25877936656178879</v>
      </c>
      <c r="Q89" s="37">
        <f t="shared" si="137"/>
        <v>0.23216388905247043</v>
      </c>
      <c r="R89" s="37">
        <f t="shared" si="137"/>
        <v>0.20050496501918302</v>
      </c>
      <c r="S89" s="37">
        <f t="shared" si="137"/>
        <v>0.22177129599846696</v>
      </c>
      <c r="T89" s="37">
        <f t="shared" si="137"/>
        <v>0.21181379528555611</v>
      </c>
      <c r="U89" s="37">
        <f t="shared" si="137"/>
        <v>0.23449252335251081</v>
      </c>
      <c r="V89" s="37">
        <f t="shared" si="137"/>
        <v>0.23011603531252767</v>
      </c>
      <c r="W89" s="37">
        <f t="shared" si="137"/>
        <v>0.2342298107788478</v>
      </c>
      <c r="X89" s="37">
        <f t="shared" si="137"/>
        <v>0.21656887643401354</v>
      </c>
      <c r="Y89" s="37">
        <f t="shared" si="137"/>
        <v>0.20644349619330493</v>
      </c>
      <c r="Z89" s="37">
        <f t="shared" si="137"/>
        <v>0.21399731339032435</v>
      </c>
      <c r="AA89" s="37">
        <f t="shared" si="137"/>
        <v>0.20435569337472687</v>
      </c>
      <c r="AB89" s="37">
        <f t="shared" si="137"/>
        <v>0.20386365901465076</v>
      </c>
      <c r="AC89" s="37">
        <f t="shared" ref="AC89" si="138">AC62/AC58</f>
        <v>0.18480740966869874</v>
      </c>
      <c r="AD89" s="64"/>
      <c r="AE89" s="64"/>
      <c r="AF89" s="64"/>
      <c r="AG89" s="1"/>
    </row>
    <row r="90" spans="1:36" s="8" customFormat="1" x14ac:dyDescent="0.35">
      <c r="A90" s="8" t="s">
        <v>82</v>
      </c>
      <c r="B90" s="37">
        <f t="shared" ref="B90:H90" si="139">B62/B61</f>
        <v>0.68421602423482719</v>
      </c>
      <c r="C90" s="37">
        <f t="shared" si="139"/>
        <v>0.60958490348934191</v>
      </c>
      <c r="D90" s="37">
        <f t="shared" si="139"/>
        <v>0.50321949350285033</v>
      </c>
      <c r="E90" s="37">
        <f t="shared" si="139"/>
        <v>0.45792989336928547</v>
      </c>
      <c r="F90" s="37">
        <f t="shared" si="139"/>
        <v>0.39027871023600685</v>
      </c>
      <c r="G90" s="37">
        <f t="shared" si="139"/>
        <v>0.34017790099924922</v>
      </c>
      <c r="H90" s="37">
        <f t="shared" si="139"/>
        <v>0.35666061396346455</v>
      </c>
      <c r="I90" s="37">
        <f t="shared" ref="I90" si="140">I62/I61</f>
        <v>0.35339360738367254</v>
      </c>
      <c r="J90" s="37"/>
      <c r="N90" s="37">
        <f t="shared" ref="N90:AB90" si="141">N62/N61</f>
        <v>0.28843403757911884</v>
      </c>
      <c r="O90" s="37">
        <f t="shared" si="141"/>
        <v>0.43904617138514151</v>
      </c>
      <c r="P90" s="37">
        <f t="shared" si="141"/>
        <v>0.49954491353357128</v>
      </c>
      <c r="Q90" s="37">
        <f t="shared" si="141"/>
        <v>0.38276414476079523</v>
      </c>
      <c r="R90" s="37">
        <f t="shared" si="141"/>
        <v>0.31907968574635237</v>
      </c>
      <c r="S90" s="37">
        <f t="shared" si="141"/>
        <v>0.35207518470230331</v>
      </c>
      <c r="T90" s="37">
        <f t="shared" si="141"/>
        <v>0.33041645244215945</v>
      </c>
      <c r="U90" s="37">
        <f t="shared" si="141"/>
        <v>0.35709686231657822</v>
      </c>
      <c r="V90" s="37">
        <f t="shared" si="141"/>
        <v>0.35790450124447792</v>
      </c>
      <c r="W90" s="37">
        <f t="shared" si="141"/>
        <v>0.37436923024994523</v>
      </c>
      <c r="X90" s="37">
        <f t="shared" si="141"/>
        <v>0.35260289597921501</v>
      </c>
      <c r="Y90" s="37">
        <f t="shared" si="141"/>
        <v>0.34424811298310898</v>
      </c>
      <c r="Z90" s="37">
        <f t="shared" si="141"/>
        <v>0.36264137652138745</v>
      </c>
      <c r="AA90" s="37">
        <f t="shared" si="141"/>
        <v>0.35230021209828399</v>
      </c>
      <c r="AB90" s="37">
        <f t="shared" si="141"/>
        <v>0.35862266455500208</v>
      </c>
      <c r="AC90" s="37">
        <f t="shared" ref="AC90" si="142">AC62/AC61</f>
        <v>0.34098867087468288</v>
      </c>
      <c r="AD90" s="99"/>
      <c r="AE90" s="64"/>
      <c r="AF90" s="64"/>
      <c r="AG90" s="112"/>
      <c r="AH90" s="113"/>
    </row>
    <row r="91" spans="1:36" x14ac:dyDescent="0.35">
      <c r="H91" s="11"/>
      <c r="I91" s="11"/>
      <c r="O91" s="7"/>
      <c r="U91" s="7"/>
      <c r="V91" s="7"/>
      <c r="W91" s="77"/>
      <c r="X91" s="77"/>
      <c r="Y91" s="77"/>
      <c r="Z91" s="77"/>
      <c r="AA91" s="77"/>
      <c r="AB91" s="77"/>
      <c r="AC91" s="77"/>
      <c r="AG91" s="123"/>
    </row>
    <row r="92" spans="1:36" s="5" customFormat="1" x14ac:dyDescent="0.35">
      <c r="A92" s="21" t="s">
        <v>164</v>
      </c>
      <c r="B92" s="22" t="str">
        <f t="shared" ref="B92:I92" si="143">B$1</f>
        <v>FY17</v>
      </c>
      <c r="C92" s="22" t="str">
        <f t="shared" si="143"/>
        <v>FY18</v>
      </c>
      <c r="D92" s="22" t="str">
        <f t="shared" si="143"/>
        <v>FY19</v>
      </c>
      <c r="E92" s="22" t="str">
        <f t="shared" si="143"/>
        <v>FY20</v>
      </c>
      <c r="F92" s="22" t="str">
        <f t="shared" si="143"/>
        <v>FY21</v>
      </c>
      <c r="G92" s="22" t="str">
        <f t="shared" si="143"/>
        <v>FY22</v>
      </c>
      <c r="H92" s="22" t="str">
        <f t="shared" si="143"/>
        <v>FY23</v>
      </c>
      <c r="I92" s="22" t="str">
        <f t="shared" si="143"/>
        <v>FY24</v>
      </c>
      <c r="J92" s="22" t="str">
        <f>J$1</f>
        <v>Yoy%</v>
      </c>
      <c r="N92" s="6" t="str">
        <f t="shared" ref="N92:AE92" si="144">N$1</f>
        <v>Q1FY21</v>
      </c>
      <c r="O92" s="6" t="str">
        <f t="shared" si="144"/>
        <v>Q2FY21</v>
      </c>
      <c r="P92" s="80" t="str">
        <f t="shared" si="144"/>
        <v>Q3FY21</v>
      </c>
      <c r="Q92" s="6" t="str">
        <f t="shared" si="144"/>
        <v>Q4FY21</v>
      </c>
      <c r="R92" s="6" t="str">
        <f t="shared" si="144"/>
        <v>Q1FY22</v>
      </c>
      <c r="S92" s="80" t="str">
        <f t="shared" si="144"/>
        <v>Q2FY22</v>
      </c>
      <c r="T92" s="80" t="str">
        <f t="shared" si="144"/>
        <v>Q3FY22</v>
      </c>
      <c r="U92" s="80" t="str">
        <f t="shared" si="144"/>
        <v>Q4FY22</v>
      </c>
      <c r="V92" s="80" t="str">
        <f t="shared" si="144"/>
        <v>Q1FY23</v>
      </c>
      <c r="W92" s="80" t="str">
        <f t="shared" si="144"/>
        <v>Q2FY23</v>
      </c>
      <c r="X92" s="80" t="str">
        <f t="shared" si="144"/>
        <v>Q3FY23</v>
      </c>
      <c r="Y92" s="80" t="str">
        <f t="shared" si="144"/>
        <v>Q4FY23</v>
      </c>
      <c r="Z92" s="80" t="str">
        <f t="shared" si="144"/>
        <v>Q1FY24</v>
      </c>
      <c r="AA92" s="80" t="str">
        <f t="shared" si="144"/>
        <v>Q2FY24</v>
      </c>
      <c r="AB92" s="80" t="str">
        <f t="shared" si="144"/>
        <v>Q3FY24</v>
      </c>
      <c r="AC92" s="80" t="str">
        <f t="shared" si="144"/>
        <v>Q4FY24</v>
      </c>
      <c r="AD92" s="6" t="str">
        <f t="shared" si="144"/>
        <v>y-o-y</v>
      </c>
      <c r="AE92" s="6" t="str">
        <f t="shared" si="144"/>
        <v>q-o-q</v>
      </c>
      <c r="AF92" s="6"/>
    </row>
    <row r="93" spans="1:36" s="2" customFormat="1" x14ac:dyDescent="0.35">
      <c r="A93" s="2" t="s">
        <v>165</v>
      </c>
      <c r="B93" s="4"/>
      <c r="C93" s="4"/>
      <c r="D93" s="4"/>
      <c r="E93" s="4"/>
      <c r="F93" s="4"/>
      <c r="G93" s="4"/>
      <c r="H93" s="4"/>
      <c r="I93" s="4"/>
      <c r="J93" s="4"/>
      <c r="N93" s="4"/>
      <c r="O93" s="24"/>
      <c r="P93" s="43"/>
      <c r="Q93" s="24"/>
      <c r="R93" s="24"/>
      <c r="S93" s="43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70"/>
      <c r="AE93" s="70"/>
      <c r="AF93" s="70"/>
    </row>
    <row r="94" spans="1:36" x14ac:dyDescent="0.35">
      <c r="A94" s="1" t="s">
        <v>166</v>
      </c>
      <c r="B94" s="35">
        <f>1159.8+661.72</f>
        <v>1821.52</v>
      </c>
      <c r="C94" s="35">
        <v>302.18</v>
      </c>
      <c r="D94" s="35">
        <v>1919.8299999999997</v>
      </c>
      <c r="E94" s="26">
        <v>2220.5500000000002</v>
      </c>
      <c r="F94" s="35">
        <v>6798.68</v>
      </c>
      <c r="G94" s="35">
        <v>6678.49</v>
      </c>
      <c r="H94" s="35">
        <f>Y94</f>
        <v>2984.1000000000004</v>
      </c>
      <c r="I94" s="35">
        <f>AC94</f>
        <v>8215.09</v>
      </c>
      <c r="J94" s="26"/>
      <c r="N94" s="35">
        <v>3046.01</v>
      </c>
      <c r="O94" s="35">
        <v>4208.6000000000004</v>
      </c>
      <c r="P94" s="35">
        <v>4635.3899999999994</v>
      </c>
      <c r="Q94" s="35">
        <f t="shared" ref="Q94:Q100" si="145">F94</f>
        <v>6798.68</v>
      </c>
      <c r="R94" s="35">
        <v>6409.96</v>
      </c>
      <c r="S94" s="35">
        <v>4895.13</v>
      </c>
      <c r="T94" s="35">
        <v>4100.13</v>
      </c>
      <c r="U94" s="35">
        <f t="shared" ref="U94:U100" si="146">G94</f>
        <v>6678.49</v>
      </c>
      <c r="V94" s="35">
        <v>3004.28</v>
      </c>
      <c r="W94" s="35">
        <v>3218.35</v>
      </c>
      <c r="X94" s="35">
        <v>3675.5800000000008</v>
      </c>
      <c r="Y94" s="35">
        <v>2984.1000000000004</v>
      </c>
      <c r="Z94" s="35">
        <v>5437.19</v>
      </c>
      <c r="AA94" s="35">
        <v>4885.0099999999993</v>
      </c>
      <c r="AB94" s="35">
        <v>5528.68</v>
      </c>
      <c r="AC94" s="35">
        <v>8215.09</v>
      </c>
      <c r="AD94" s="69">
        <f t="shared" ref="AD94:AD101" si="147">IFERROR(AC94/Y94-1,"")</f>
        <v>1.7529539894775641</v>
      </c>
      <c r="AE94" s="69">
        <f t="shared" ref="AE94:AE101" si="148">IFERROR(AC94/AB94-1,"")</f>
        <v>0.4859044111795221</v>
      </c>
      <c r="AF94" s="75"/>
      <c r="AI94" s="111"/>
      <c r="AJ94" s="111"/>
    </row>
    <row r="95" spans="1:36" x14ac:dyDescent="0.35">
      <c r="A95" s="1" t="s">
        <v>167</v>
      </c>
      <c r="B95" s="35">
        <v>7893.12</v>
      </c>
      <c r="C95" s="35">
        <v>13087.35</v>
      </c>
      <c r="D95" s="35">
        <v>21347.050000000007</v>
      </c>
      <c r="E95" s="26">
        <v>30139.14</v>
      </c>
      <c r="F95" s="35">
        <v>33264.999999999985</v>
      </c>
      <c r="G95" s="35">
        <v>43048.66</v>
      </c>
      <c r="H95" s="35">
        <f t="shared" ref="H95:H100" si="149">Y95</f>
        <v>59957.000000000007</v>
      </c>
      <c r="I95" s="35">
        <f t="shared" ref="I95:I100" si="150">AC95</f>
        <v>81434.38</v>
      </c>
      <c r="J95" s="26"/>
      <c r="N95" s="35">
        <v>28693.709999999995</v>
      </c>
      <c r="O95" s="35">
        <v>29721.639999999996</v>
      </c>
      <c r="P95" s="35">
        <v>32067.32</v>
      </c>
      <c r="Q95" s="35">
        <f t="shared" si="145"/>
        <v>33264.999999999985</v>
      </c>
      <c r="R95" s="35">
        <v>33951.360000000015</v>
      </c>
      <c r="S95" s="35">
        <v>36371.93</v>
      </c>
      <c r="T95" s="35">
        <v>39539.85</v>
      </c>
      <c r="U95" s="35">
        <f t="shared" si="146"/>
        <v>43048.66</v>
      </c>
      <c r="V95" s="35">
        <v>47222.33</v>
      </c>
      <c r="W95" s="35">
        <v>51454.409999999996</v>
      </c>
      <c r="X95" s="35">
        <v>55954.870000000017</v>
      </c>
      <c r="Y95" s="35">
        <v>59957.000000000007</v>
      </c>
      <c r="Z95" s="35">
        <v>65194.299999999988</v>
      </c>
      <c r="AA95" s="35">
        <v>70253.330000000016</v>
      </c>
      <c r="AB95" s="35">
        <v>75478.459999999977</v>
      </c>
      <c r="AC95" s="35">
        <v>81434.38</v>
      </c>
      <c r="AD95" s="69">
        <f t="shared" si="147"/>
        <v>0.35821305268775938</v>
      </c>
      <c r="AE95" s="69">
        <f t="shared" si="148"/>
        <v>7.8908870159778433E-2</v>
      </c>
      <c r="AF95" s="75"/>
      <c r="AI95" s="111"/>
      <c r="AJ95" s="111"/>
    </row>
    <row r="96" spans="1:36" x14ac:dyDescent="0.35">
      <c r="A96" s="1" t="s">
        <v>168</v>
      </c>
      <c r="B96" s="35">
        <v>0</v>
      </c>
      <c r="C96" s="35">
        <v>0</v>
      </c>
      <c r="D96" s="35">
        <v>1029.17</v>
      </c>
      <c r="E96" s="26">
        <v>1455.58</v>
      </c>
      <c r="F96" s="35">
        <v>3750.15</v>
      </c>
      <c r="G96" s="35">
        <v>0</v>
      </c>
      <c r="H96" s="35">
        <f t="shared" si="149"/>
        <v>2807.99</v>
      </c>
      <c r="I96" s="35">
        <f t="shared" si="150"/>
        <v>3788.13</v>
      </c>
      <c r="J96" s="26"/>
      <c r="N96" s="35">
        <v>4064.7699999999995</v>
      </c>
      <c r="O96" s="35">
        <v>2192.1199999999994</v>
      </c>
      <c r="P96" s="35">
        <v>2439.3399999999992</v>
      </c>
      <c r="Q96" s="35">
        <f t="shared" si="145"/>
        <v>3750.15</v>
      </c>
      <c r="R96" s="35">
        <v>4149.4900000000007</v>
      </c>
      <c r="S96" s="35">
        <v>3690.83</v>
      </c>
      <c r="T96" s="35">
        <v>1214.19</v>
      </c>
      <c r="U96" s="35">
        <f t="shared" si="146"/>
        <v>0</v>
      </c>
      <c r="V96" s="35">
        <v>3266.82</v>
      </c>
      <c r="W96" s="35">
        <v>3396.8100000000004</v>
      </c>
      <c r="X96" s="35">
        <v>4338.42</v>
      </c>
      <c r="Y96" s="35">
        <v>2807.99</v>
      </c>
      <c r="Z96" s="35">
        <v>3656.8</v>
      </c>
      <c r="AA96" s="35">
        <v>3556.9300000000003</v>
      </c>
      <c r="AB96" s="35">
        <v>7140.9299999999994</v>
      </c>
      <c r="AC96" s="35">
        <v>3788.13</v>
      </c>
      <c r="AD96" s="69">
        <f t="shared" si="147"/>
        <v>0.34905394962232794</v>
      </c>
      <c r="AE96" s="69">
        <f t="shared" si="148"/>
        <v>-0.46951867613882214</v>
      </c>
      <c r="AF96" s="75"/>
      <c r="AI96" s="111"/>
      <c r="AJ96" s="111"/>
    </row>
    <row r="97" spans="1:36" x14ac:dyDescent="0.35">
      <c r="A97" s="1" t="s">
        <v>169</v>
      </c>
      <c r="B97" s="35">
        <v>59.63</v>
      </c>
      <c r="C97" s="35">
        <v>49.500000000000007</v>
      </c>
      <c r="D97" s="35">
        <v>267.05</v>
      </c>
      <c r="E97" s="26">
        <f>663.27+0.5</f>
        <v>663.77</v>
      </c>
      <c r="F97" s="35">
        <f>1011.65+9.47</f>
        <v>1021.12</v>
      </c>
      <c r="G97" s="35">
        <v>1164.82</v>
      </c>
      <c r="H97" s="35">
        <f t="shared" si="149"/>
        <v>1240.9700000000003</v>
      </c>
      <c r="I97" s="35">
        <f t="shared" si="150"/>
        <v>1440.7000000000003</v>
      </c>
      <c r="J97" s="26"/>
      <c r="N97" s="35">
        <f>919.45+0.62</f>
        <v>920.07</v>
      </c>
      <c r="O97" s="35">
        <f>850.79+0.45</f>
        <v>851.24</v>
      </c>
      <c r="P97" s="35">
        <f>711.77+0.27</f>
        <v>712.04</v>
      </c>
      <c r="Q97" s="35">
        <f t="shared" si="145"/>
        <v>1021.12</v>
      </c>
      <c r="R97" s="35">
        <f>1004.86+8.5</f>
        <v>1013.36</v>
      </c>
      <c r="S97" s="35">
        <f>1088.84+9.11</f>
        <v>1097.9499999999998</v>
      </c>
      <c r="T97" s="35">
        <f>1123.57+11.56</f>
        <v>1135.1299999999999</v>
      </c>
      <c r="U97" s="35">
        <f t="shared" si="146"/>
        <v>1164.82</v>
      </c>
      <c r="V97" s="35">
        <f>1167.63+15.04</f>
        <v>1182.67</v>
      </c>
      <c r="W97" s="35">
        <f>1177.44+18.49</f>
        <v>1195.93</v>
      </c>
      <c r="X97" s="35">
        <f>1158.19+22.14</f>
        <v>1180.3300000000002</v>
      </c>
      <c r="Y97" s="35">
        <v>1240.9700000000003</v>
      </c>
      <c r="Z97" s="35">
        <v>1325.1599999999999</v>
      </c>
      <c r="AA97" s="35">
        <v>1294.1400000000003</v>
      </c>
      <c r="AB97" s="35">
        <v>1445.07</v>
      </c>
      <c r="AC97" s="35">
        <v>1440.7000000000003</v>
      </c>
      <c r="AD97" s="69">
        <f t="shared" si="147"/>
        <v>0.16094667880770697</v>
      </c>
      <c r="AE97" s="69">
        <f t="shared" si="148"/>
        <v>-3.0240749583062554E-3</v>
      </c>
      <c r="AF97" s="75"/>
      <c r="AI97" s="111"/>
      <c r="AJ97" s="111"/>
    </row>
    <row r="98" spans="1:36" ht="29" x14ac:dyDescent="0.35">
      <c r="A98" s="50" t="s">
        <v>194</v>
      </c>
      <c r="B98" s="35">
        <v>64.27</v>
      </c>
      <c r="C98" s="35">
        <v>97.61999999999999</v>
      </c>
      <c r="D98" s="35">
        <v>167.58999999999997</v>
      </c>
      <c r="E98" s="26">
        <v>204.84</v>
      </c>
      <c r="F98" s="35">
        <v>164.01</v>
      </c>
      <c r="G98" s="35">
        <v>199.97</v>
      </c>
      <c r="H98" s="35">
        <f t="shared" si="149"/>
        <v>253.47</v>
      </c>
      <c r="I98" s="35">
        <f t="shared" si="150"/>
        <v>298.15999999999997</v>
      </c>
      <c r="J98" s="26"/>
      <c r="N98" s="35">
        <v>184.64</v>
      </c>
      <c r="O98" s="35">
        <v>169.55</v>
      </c>
      <c r="P98" s="35">
        <v>160.18</v>
      </c>
      <c r="Q98" s="35">
        <f t="shared" si="145"/>
        <v>164.01</v>
      </c>
      <c r="R98" s="35">
        <v>177.1</v>
      </c>
      <c r="S98" s="35">
        <v>179.42000000000002</v>
      </c>
      <c r="T98" s="35">
        <v>192.68</v>
      </c>
      <c r="U98" s="35">
        <f t="shared" si="146"/>
        <v>199.97</v>
      </c>
      <c r="V98" s="35">
        <v>202.49</v>
      </c>
      <c r="W98" s="35">
        <v>222.76</v>
      </c>
      <c r="X98" s="35">
        <v>223.11</v>
      </c>
      <c r="Y98" s="35">
        <v>253.47</v>
      </c>
      <c r="Z98" s="35">
        <v>257.02</v>
      </c>
      <c r="AA98" s="35">
        <v>256.23</v>
      </c>
      <c r="AB98" s="35">
        <v>264.49</v>
      </c>
      <c r="AC98" s="35">
        <v>298.15999999999997</v>
      </c>
      <c r="AD98" s="69">
        <f t="shared" si="147"/>
        <v>0.17631277863257977</v>
      </c>
      <c r="AE98" s="69">
        <f t="shared" si="148"/>
        <v>0.12730159930432139</v>
      </c>
      <c r="AF98" s="75"/>
      <c r="AI98" s="111"/>
      <c r="AJ98" s="111"/>
    </row>
    <row r="99" spans="1:36" x14ac:dyDescent="0.35">
      <c r="A99" s="50" t="s">
        <v>232</v>
      </c>
      <c r="B99" s="35">
        <v>26.279999999999998</v>
      </c>
      <c r="C99" s="35">
        <v>63.81</v>
      </c>
      <c r="D99" s="35">
        <v>14.22</v>
      </c>
      <c r="E99" s="35">
        <v>0</v>
      </c>
      <c r="F99" s="35">
        <v>0</v>
      </c>
      <c r="G99" s="35">
        <v>0</v>
      </c>
      <c r="H99" s="35">
        <f t="shared" si="149"/>
        <v>28.319999999999993</v>
      </c>
      <c r="I99" s="35">
        <f t="shared" si="150"/>
        <v>31.250000000000028</v>
      </c>
      <c r="J99" s="26"/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si="146"/>
        <v>0</v>
      </c>
      <c r="V99" s="35">
        <v>0</v>
      </c>
      <c r="W99" s="35">
        <v>8.52</v>
      </c>
      <c r="X99" s="35">
        <v>27.099999999999994</v>
      </c>
      <c r="Y99" s="35">
        <v>28.319999999999993</v>
      </c>
      <c r="Z99" s="35">
        <v>22.22</v>
      </c>
      <c r="AA99" s="35">
        <v>34.460000000000008</v>
      </c>
      <c r="AB99" s="35">
        <v>34.109999999999985</v>
      </c>
      <c r="AC99" s="35">
        <v>31.250000000000028</v>
      </c>
      <c r="AD99" s="69">
        <f t="shared" si="147"/>
        <v>0.1034604519774025</v>
      </c>
      <c r="AE99" s="69">
        <f t="shared" si="148"/>
        <v>-8.3846379360890011E-2</v>
      </c>
      <c r="AF99" s="75"/>
      <c r="AI99" s="111"/>
      <c r="AJ99" s="111"/>
    </row>
    <row r="100" spans="1:36" x14ac:dyDescent="0.35">
      <c r="A100" s="1" t="s">
        <v>170</v>
      </c>
      <c r="B100" s="35">
        <f>26.28+2.26+22.5-B99</f>
        <v>24.76</v>
      </c>
      <c r="C100" s="35">
        <f>112.77-C99</f>
        <v>48.959999999999994</v>
      </c>
      <c r="D100" s="35">
        <v>70.349999999999994</v>
      </c>
      <c r="E100" s="26">
        <f>118.71-0.5</f>
        <v>118.21</v>
      </c>
      <c r="F100" s="35">
        <f>112.06-9.47</f>
        <v>102.59</v>
      </c>
      <c r="G100" s="35">
        <v>86.21</v>
      </c>
      <c r="H100" s="35">
        <f t="shared" si="149"/>
        <v>117.76000000000002</v>
      </c>
      <c r="I100" s="35">
        <f t="shared" si="150"/>
        <v>131.85</v>
      </c>
      <c r="J100" s="26"/>
      <c r="N100" s="35">
        <f>79.35-0.62</f>
        <v>78.72999999999999</v>
      </c>
      <c r="O100" s="35">
        <f>81.07-0.45</f>
        <v>80.61999999999999</v>
      </c>
      <c r="P100" s="35">
        <f>70.19-0.27</f>
        <v>69.92</v>
      </c>
      <c r="Q100" s="35">
        <f t="shared" si="145"/>
        <v>102.59</v>
      </c>
      <c r="R100" s="35">
        <f>87.51-8.5</f>
        <v>79.010000000000005</v>
      </c>
      <c r="S100" s="35">
        <f>98.46-9.11</f>
        <v>89.35</v>
      </c>
      <c r="T100" s="35">
        <f>139.63-11.56</f>
        <v>128.07</v>
      </c>
      <c r="U100" s="35">
        <f t="shared" si="146"/>
        <v>86.21</v>
      </c>
      <c r="V100" s="35">
        <v>73.97</v>
      </c>
      <c r="W100" s="35">
        <v>66.42</v>
      </c>
      <c r="X100" s="35">
        <v>97.01</v>
      </c>
      <c r="Y100" s="35">
        <v>117.76000000000002</v>
      </c>
      <c r="Z100" s="35">
        <v>184.89000000000004</v>
      </c>
      <c r="AA100" s="35">
        <v>154.19999999999993</v>
      </c>
      <c r="AB100" s="35">
        <v>149.72999999999999</v>
      </c>
      <c r="AC100" s="35">
        <v>131.85</v>
      </c>
      <c r="AD100" s="69">
        <f t="shared" si="147"/>
        <v>0.11965013586956497</v>
      </c>
      <c r="AE100" s="69">
        <f t="shared" si="148"/>
        <v>-0.119414946904428</v>
      </c>
      <c r="AF100" s="75"/>
      <c r="AI100" s="111"/>
      <c r="AJ100" s="111"/>
    </row>
    <row r="101" spans="1:36" s="2" customFormat="1" x14ac:dyDescent="0.35">
      <c r="A101" s="2" t="s">
        <v>35</v>
      </c>
      <c r="B101" s="24">
        <f t="shared" ref="B101:G101" si="151">SUM(B94:B100)</f>
        <v>9889.58</v>
      </c>
      <c r="C101" s="24">
        <f t="shared" si="151"/>
        <v>13649.42</v>
      </c>
      <c r="D101" s="24">
        <f t="shared" si="151"/>
        <v>24815.260000000002</v>
      </c>
      <c r="E101" s="4">
        <f t="shared" si="151"/>
        <v>34802.089999999989</v>
      </c>
      <c r="F101" s="24">
        <f t="shared" si="151"/>
        <v>45101.549999999988</v>
      </c>
      <c r="G101" s="24">
        <f t="shared" si="151"/>
        <v>51178.15</v>
      </c>
      <c r="H101" s="24">
        <f t="shared" ref="H101:I101" si="152">SUM(H94:H100)</f>
        <v>67389.610000000015</v>
      </c>
      <c r="I101" s="24">
        <f t="shared" si="152"/>
        <v>95339.560000000012</v>
      </c>
      <c r="J101" s="4"/>
      <c r="N101" s="24">
        <f t="shared" ref="N101:U101" si="153">SUM(N94:N100)</f>
        <v>36987.929999999993</v>
      </c>
      <c r="O101" s="24">
        <f t="shared" si="153"/>
        <v>37223.770000000004</v>
      </c>
      <c r="P101" s="24">
        <f t="shared" si="153"/>
        <v>40084.189999999995</v>
      </c>
      <c r="Q101" s="24">
        <f t="shared" si="153"/>
        <v>45101.549999999988</v>
      </c>
      <c r="R101" s="24">
        <f t="shared" si="153"/>
        <v>45780.280000000013</v>
      </c>
      <c r="S101" s="24">
        <f t="shared" si="153"/>
        <v>46324.609999999993</v>
      </c>
      <c r="T101" s="24">
        <f>SUM(T94:T100)</f>
        <v>46310.049999999996</v>
      </c>
      <c r="U101" s="24">
        <f t="shared" si="153"/>
        <v>51178.15</v>
      </c>
      <c r="V101" s="24">
        <f t="shared" ref="V101:W101" si="154">SUM(V94:V100)</f>
        <v>54952.56</v>
      </c>
      <c r="W101" s="24">
        <f t="shared" si="154"/>
        <v>59563.19999999999</v>
      </c>
      <c r="X101" s="24">
        <f t="shared" ref="X101:AC101" si="155">SUM(X94:X100)</f>
        <v>65496.42000000002</v>
      </c>
      <c r="Y101" s="24">
        <f t="shared" si="155"/>
        <v>67389.610000000015</v>
      </c>
      <c r="Z101" s="24">
        <f t="shared" si="155"/>
        <v>76077.58</v>
      </c>
      <c r="AA101" s="24">
        <f t="shared" si="155"/>
        <v>80434.300000000017</v>
      </c>
      <c r="AB101" s="24">
        <f t="shared" si="155"/>
        <v>90041.469999999987</v>
      </c>
      <c r="AC101" s="24">
        <f t="shared" si="155"/>
        <v>95339.560000000012</v>
      </c>
      <c r="AD101" s="71">
        <f t="shared" si="147"/>
        <v>0.41475162120688913</v>
      </c>
      <c r="AE101" s="71">
        <f t="shared" si="148"/>
        <v>5.8840554246837984E-2</v>
      </c>
      <c r="AF101" s="76"/>
      <c r="AG101" s="124"/>
      <c r="AH101" s="124"/>
    </row>
    <row r="102" spans="1:36" x14ac:dyDescent="0.35">
      <c r="B102" s="42"/>
      <c r="C102" s="42"/>
      <c r="D102" s="42"/>
      <c r="E102" s="39"/>
      <c r="F102" s="46"/>
      <c r="G102" s="46"/>
      <c r="H102" s="46"/>
      <c r="I102" s="46"/>
      <c r="J102" s="39"/>
      <c r="N102" s="46"/>
      <c r="O102" s="46"/>
      <c r="P102" s="46"/>
      <c r="Q102" s="46"/>
      <c r="R102" s="42"/>
      <c r="S102" s="42"/>
      <c r="T102" s="42"/>
      <c r="U102" s="46"/>
      <c r="V102" s="42"/>
      <c r="W102" s="42"/>
      <c r="X102" s="42"/>
      <c r="Y102" s="42"/>
      <c r="Z102" s="42"/>
      <c r="AA102" s="42"/>
      <c r="AB102" s="42"/>
      <c r="AC102" s="42"/>
      <c r="AD102" s="121"/>
    </row>
    <row r="103" spans="1:36" s="2" customFormat="1" x14ac:dyDescent="0.35">
      <c r="A103" s="2" t="s">
        <v>171</v>
      </c>
      <c r="B103" s="43"/>
      <c r="C103" s="43"/>
      <c r="D103" s="43"/>
      <c r="E103" s="34"/>
      <c r="F103" s="24"/>
      <c r="G103" s="24"/>
      <c r="H103" s="24"/>
      <c r="I103" s="24"/>
      <c r="J103" s="34"/>
      <c r="N103" s="24"/>
      <c r="O103" s="24"/>
      <c r="P103" s="24"/>
      <c r="Q103" s="24"/>
      <c r="R103" s="43"/>
      <c r="S103" s="43"/>
      <c r="T103" s="43"/>
      <c r="U103" s="24"/>
      <c r="V103" s="43"/>
      <c r="W103" s="43"/>
      <c r="X103" s="43"/>
      <c r="Y103" s="43"/>
      <c r="Z103" s="43"/>
      <c r="AA103" s="43"/>
      <c r="AB103" s="43"/>
      <c r="AC103" s="43"/>
      <c r="AD103" s="70"/>
      <c r="AE103" s="70"/>
      <c r="AF103" s="70"/>
      <c r="AG103" s="1"/>
      <c r="AH103" s="1"/>
    </row>
    <row r="104" spans="1:36" x14ac:dyDescent="0.35">
      <c r="A104" s="1" t="s">
        <v>172</v>
      </c>
      <c r="B104" s="35">
        <f>0.56+32.37</f>
        <v>32.93</v>
      </c>
      <c r="C104" s="35">
        <v>5.37</v>
      </c>
      <c r="D104" s="35">
        <v>13.579999999999995</v>
      </c>
      <c r="E104" s="26">
        <v>4.32</v>
      </c>
      <c r="F104" s="35">
        <v>48.47</v>
      </c>
      <c r="G104" s="35">
        <v>62.05</v>
      </c>
      <c r="H104" s="35">
        <f t="shared" ref="H104:H111" si="156">Y104</f>
        <v>149.13</v>
      </c>
      <c r="I104" s="35">
        <f t="shared" ref="I104:I111" si="157">AC104</f>
        <v>114.85000000000001</v>
      </c>
      <c r="J104" s="26"/>
      <c r="N104" s="35">
        <v>3.86</v>
      </c>
      <c r="O104" s="35">
        <v>0.06</v>
      </c>
      <c r="P104" s="35">
        <v>1.08</v>
      </c>
      <c r="Q104" s="35">
        <f t="shared" ref="Q104:Q111" si="158">F104</f>
        <v>48.47</v>
      </c>
      <c r="R104" s="35">
        <v>44.19</v>
      </c>
      <c r="S104" s="35">
        <v>70.88</v>
      </c>
      <c r="T104" s="35">
        <v>62.67</v>
      </c>
      <c r="U104" s="35">
        <f>G104</f>
        <v>62.05</v>
      </c>
      <c r="V104" s="35">
        <v>57.73</v>
      </c>
      <c r="W104" s="35">
        <v>96.009999999999977</v>
      </c>
      <c r="X104" s="35">
        <v>95.029999999999987</v>
      </c>
      <c r="Y104" s="35">
        <v>149.13</v>
      </c>
      <c r="Z104" s="35">
        <v>114.28</v>
      </c>
      <c r="AA104" s="35">
        <v>113.94999999999997</v>
      </c>
      <c r="AB104" s="35">
        <v>138.38</v>
      </c>
      <c r="AC104" s="35">
        <v>114.85000000000001</v>
      </c>
      <c r="AD104" s="69">
        <f t="shared" ref="AD104:AD112" si="159">IFERROR(AC104/Y104-1,"")</f>
        <v>-0.22986655937772404</v>
      </c>
      <c r="AE104" s="69">
        <f t="shared" ref="AE104:AE112" si="160">IFERROR(AC104/AB104-1,"")</f>
        <v>-0.17003902298019935</v>
      </c>
      <c r="AF104" s="75"/>
      <c r="AI104" s="111"/>
      <c r="AJ104" s="111"/>
    </row>
    <row r="105" spans="1:36" x14ac:dyDescent="0.35">
      <c r="A105" s="1" t="s">
        <v>173</v>
      </c>
      <c r="B105" s="35">
        <v>0</v>
      </c>
      <c r="C105" s="35">
        <v>0</v>
      </c>
      <c r="D105" s="35">
        <v>0</v>
      </c>
      <c r="E105" s="26" t="s">
        <v>179</v>
      </c>
      <c r="F105" s="35">
        <v>2395.86</v>
      </c>
      <c r="G105" s="35">
        <v>1687.82</v>
      </c>
      <c r="H105" s="35">
        <f t="shared" si="156"/>
        <v>3469.49</v>
      </c>
      <c r="I105" s="35">
        <f t="shared" si="157"/>
        <v>2775.28</v>
      </c>
      <c r="J105" s="26"/>
      <c r="N105" s="35">
        <v>1895.15</v>
      </c>
      <c r="O105" s="35">
        <v>2394.58</v>
      </c>
      <c r="P105" s="35">
        <v>2395.2199999999998</v>
      </c>
      <c r="Q105" s="35">
        <f t="shared" si="158"/>
        <v>2395.86</v>
      </c>
      <c r="R105" s="35">
        <v>2396.5</v>
      </c>
      <c r="S105" s="35">
        <v>2397.21</v>
      </c>
      <c r="T105" s="35">
        <v>2187.7199999999998</v>
      </c>
      <c r="U105" s="35">
        <f t="shared" ref="U105:U111" si="161">G105</f>
        <v>1687.82</v>
      </c>
      <c r="V105" s="35">
        <v>1688.23</v>
      </c>
      <c r="W105" s="35">
        <v>1688.67</v>
      </c>
      <c r="X105" s="35">
        <v>3467.79</v>
      </c>
      <c r="Y105" s="35">
        <v>3469.49</v>
      </c>
      <c r="Z105" s="35">
        <v>2771.09</v>
      </c>
      <c r="AA105" s="35">
        <v>2772.47</v>
      </c>
      <c r="AB105" s="35">
        <v>2773.85</v>
      </c>
      <c r="AC105" s="35">
        <v>2775.28</v>
      </c>
      <c r="AD105" s="69">
        <f t="shared" si="159"/>
        <v>-0.20008992676157</v>
      </c>
      <c r="AE105" s="69">
        <f t="shared" si="160"/>
        <v>5.1552895794659825E-4</v>
      </c>
      <c r="AF105" s="75"/>
      <c r="AG105" s="129"/>
      <c r="AH105" s="129"/>
      <c r="AI105" s="111"/>
      <c r="AJ105" s="111"/>
    </row>
    <row r="106" spans="1:36" x14ac:dyDescent="0.35">
      <c r="A106" s="1" t="s">
        <v>174</v>
      </c>
      <c r="B106" s="35">
        <v>6630.45</v>
      </c>
      <c r="C106" s="35">
        <v>10198.76</v>
      </c>
      <c r="D106" s="35">
        <v>19256.41</v>
      </c>
      <c r="E106" s="26">
        <v>24938.05</v>
      </c>
      <c r="F106" s="35">
        <v>28141.029999999995</v>
      </c>
      <c r="G106" s="35">
        <v>32979.85</v>
      </c>
      <c r="H106" s="35">
        <f t="shared" si="156"/>
        <v>44665.240000000005</v>
      </c>
      <c r="I106" s="35">
        <f t="shared" si="157"/>
        <v>70245.739999999991</v>
      </c>
      <c r="J106" s="26"/>
      <c r="N106" s="35">
        <v>24645.61</v>
      </c>
      <c r="O106" s="35">
        <v>23971.199999999997</v>
      </c>
      <c r="P106" s="35">
        <v>25998.289999999997</v>
      </c>
      <c r="Q106" s="35">
        <f t="shared" si="158"/>
        <v>28141.029999999995</v>
      </c>
      <c r="R106" s="35">
        <v>28438.009999999995</v>
      </c>
      <c r="S106" s="35">
        <v>28356.410000000003</v>
      </c>
      <c r="T106" s="35">
        <v>28048.089999999997</v>
      </c>
      <c r="U106" s="35">
        <f t="shared" si="161"/>
        <v>32979.85</v>
      </c>
      <c r="V106" s="35">
        <v>36115.089999999997</v>
      </c>
      <c r="W106" s="35">
        <v>39852.010000000009</v>
      </c>
      <c r="X106" s="35">
        <v>43546.090000000004</v>
      </c>
      <c r="Y106" s="35">
        <v>44665.240000000005</v>
      </c>
      <c r="Z106" s="35">
        <v>53492.569999999992</v>
      </c>
      <c r="AA106" s="35">
        <v>57245.130000000005</v>
      </c>
      <c r="AB106" s="35">
        <v>65688.75</v>
      </c>
      <c r="AC106" s="35">
        <v>70245.739999999991</v>
      </c>
      <c r="AD106" s="69">
        <f t="shared" si="159"/>
        <v>0.57271605391575164</v>
      </c>
      <c r="AE106" s="69">
        <f t="shared" si="160"/>
        <v>6.9372457232022011E-2</v>
      </c>
      <c r="AF106" s="75"/>
      <c r="AG106" s="129"/>
      <c r="AH106" s="129"/>
      <c r="AI106" s="111"/>
      <c r="AJ106" s="111"/>
    </row>
    <row r="107" spans="1:36" x14ac:dyDescent="0.35">
      <c r="A107" s="1" t="s">
        <v>175</v>
      </c>
      <c r="B107" s="35">
        <v>119.07</v>
      </c>
      <c r="C107" s="35">
        <v>136.74</v>
      </c>
      <c r="D107" s="35">
        <v>248.23000000000002</v>
      </c>
      <c r="E107" s="26">
        <v>355.83</v>
      </c>
      <c r="F107" s="35">
        <v>534.78</v>
      </c>
      <c r="G107" s="35">
        <v>569.1</v>
      </c>
      <c r="H107" s="35">
        <f t="shared" si="156"/>
        <v>754.45999999999992</v>
      </c>
      <c r="I107" s="35">
        <f t="shared" si="157"/>
        <v>791.95000000000039</v>
      </c>
      <c r="J107" s="26"/>
      <c r="N107" s="35">
        <v>451.34</v>
      </c>
      <c r="O107" s="35">
        <v>754.69999999999993</v>
      </c>
      <c r="P107" s="35">
        <v>586.39</v>
      </c>
      <c r="Q107" s="35">
        <f t="shared" si="158"/>
        <v>534.78</v>
      </c>
      <c r="R107" s="35">
        <v>545.76000000000022</v>
      </c>
      <c r="S107" s="35">
        <v>647.95000000000005</v>
      </c>
      <c r="T107" s="35">
        <v>646.21</v>
      </c>
      <c r="U107" s="35">
        <f t="shared" si="161"/>
        <v>569.1</v>
      </c>
      <c r="V107" s="35">
        <v>611.65</v>
      </c>
      <c r="W107" s="35">
        <v>891.34</v>
      </c>
      <c r="X107" s="35">
        <v>738.30000000000018</v>
      </c>
      <c r="Y107" s="35">
        <v>754.45999999999992</v>
      </c>
      <c r="Z107" s="35">
        <v>778.13000000000022</v>
      </c>
      <c r="AA107" s="35">
        <v>643.94000000000017</v>
      </c>
      <c r="AB107" s="35">
        <v>934.37</v>
      </c>
      <c r="AC107" s="35">
        <v>791.95000000000039</v>
      </c>
      <c r="AD107" s="69">
        <f t="shared" si="159"/>
        <v>4.9691169843332217E-2</v>
      </c>
      <c r="AE107" s="69">
        <f t="shared" si="160"/>
        <v>-0.15242355811937414</v>
      </c>
      <c r="AF107" s="75"/>
      <c r="AI107" s="111"/>
      <c r="AJ107" s="111"/>
    </row>
    <row r="108" spans="1:36" x14ac:dyDescent="0.35">
      <c r="A108" s="1" t="s">
        <v>176</v>
      </c>
      <c r="B108" s="35">
        <v>20.45</v>
      </c>
      <c r="C108" s="35">
        <v>18.740000000000002</v>
      </c>
      <c r="D108" s="35">
        <v>29.62</v>
      </c>
      <c r="E108" s="26">
        <v>66.39</v>
      </c>
      <c r="F108" s="35">
        <v>32.36</v>
      </c>
      <c r="G108" s="35">
        <v>45.36</v>
      </c>
      <c r="H108" s="35">
        <f t="shared" si="156"/>
        <v>59.559999999999995</v>
      </c>
      <c r="I108" s="35">
        <f t="shared" si="157"/>
        <v>73.84</v>
      </c>
      <c r="J108" s="26"/>
      <c r="N108" s="35">
        <v>59.63</v>
      </c>
      <c r="O108" s="35">
        <v>73.25</v>
      </c>
      <c r="P108" s="35">
        <v>86.4</v>
      </c>
      <c r="Q108" s="35">
        <f t="shared" si="158"/>
        <v>32.36</v>
      </c>
      <c r="R108" s="35">
        <v>34.25</v>
      </c>
      <c r="S108" s="35">
        <v>40.81</v>
      </c>
      <c r="T108" s="35">
        <v>47.78</v>
      </c>
      <c r="U108" s="35">
        <f t="shared" si="161"/>
        <v>45.36</v>
      </c>
      <c r="V108" s="35">
        <v>56.73</v>
      </c>
      <c r="W108" s="35">
        <v>64.5</v>
      </c>
      <c r="X108" s="35">
        <v>72.289999999999992</v>
      </c>
      <c r="Y108" s="35">
        <v>59.559999999999995</v>
      </c>
      <c r="Z108" s="35">
        <v>74.47</v>
      </c>
      <c r="AA108" s="35">
        <v>80.319999999999993</v>
      </c>
      <c r="AB108" s="35">
        <v>88.6</v>
      </c>
      <c r="AC108" s="35">
        <v>73.84</v>
      </c>
      <c r="AD108" s="69">
        <f t="shared" si="159"/>
        <v>0.23975822699798544</v>
      </c>
      <c r="AE108" s="69">
        <f t="shared" si="160"/>
        <v>-0.16659142212189604</v>
      </c>
      <c r="AF108" s="75"/>
      <c r="AI108" s="111"/>
      <c r="AJ108" s="111"/>
    </row>
    <row r="109" spans="1:36" x14ac:dyDescent="0.35">
      <c r="A109" s="1" t="s">
        <v>177</v>
      </c>
      <c r="B109" s="35">
        <v>0</v>
      </c>
      <c r="C109" s="35">
        <v>0</v>
      </c>
      <c r="D109" s="35">
        <v>0</v>
      </c>
      <c r="E109" s="26">
        <v>31.15</v>
      </c>
      <c r="F109" s="35">
        <v>79.58</v>
      </c>
      <c r="G109" s="35">
        <v>17.39</v>
      </c>
      <c r="H109" s="35">
        <f t="shared" si="156"/>
        <v>0</v>
      </c>
      <c r="I109" s="35">
        <f t="shared" si="157"/>
        <v>0</v>
      </c>
      <c r="J109" s="26"/>
      <c r="N109" s="35">
        <v>105.56</v>
      </c>
      <c r="O109" s="35">
        <v>67.52</v>
      </c>
      <c r="P109" s="35">
        <v>35.910000000000004</v>
      </c>
      <c r="Q109" s="35">
        <f t="shared" si="158"/>
        <v>79.58</v>
      </c>
      <c r="R109" s="35">
        <v>116.42</v>
      </c>
      <c r="S109" s="35">
        <v>120.09</v>
      </c>
      <c r="T109" s="35">
        <v>148.63999999999999</v>
      </c>
      <c r="U109" s="35">
        <f t="shared" si="161"/>
        <v>17.39</v>
      </c>
      <c r="V109" s="35">
        <v>11.18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69" t="str">
        <f t="shared" si="159"/>
        <v/>
      </c>
      <c r="AE109" s="69" t="str">
        <f t="shared" si="160"/>
        <v/>
      </c>
      <c r="AF109" s="75"/>
      <c r="AI109" s="111"/>
      <c r="AJ109" s="111"/>
    </row>
    <row r="110" spans="1:36" x14ac:dyDescent="0.35">
      <c r="A110" s="1" t="s">
        <v>178</v>
      </c>
      <c r="B110" s="35">
        <f>22.26+0.84</f>
        <v>23.1</v>
      </c>
      <c r="C110" s="35">
        <v>37.660000000000004</v>
      </c>
      <c r="D110" s="35">
        <v>40.81</v>
      </c>
      <c r="E110" s="26">
        <v>72.09</v>
      </c>
      <c r="F110" s="35">
        <v>64.040000000000006</v>
      </c>
      <c r="G110" s="35">
        <v>79.73</v>
      </c>
      <c r="H110" s="35">
        <f t="shared" si="156"/>
        <v>118.34</v>
      </c>
      <c r="I110" s="35">
        <f t="shared" si="157"/>
        <v>123.04999999999993</v>
      </c>
      <c r="J110" s="26"/>
      <c r="N110" s="35">
        <v>100.42</v>
      </c>
      <c r="O110" s="35">
        <v>82.71</v>
      </c>
      <c r="P110" s="35">
        <v>60.36</v>
      </c>
      <c r="Q110" s="35">
        <f t="shared" si="158"/>
        <v>64.040000000000006</v>
      </c>
      <c r="R110" s="35">
        <v>32.51</v>
      </c>
      <c r="S110" s="35">
        <v>64.38</v>
      </c>
      <c r="T110" s="35">
        <v>68.69</v>
      </c>
      <c r="U110" s="35">
        <f t="shared" si="161"/>
        <v>79.73</v>
      </c>
      <c r="V110" s="35">
        <v>132.74</v>
      </c>
      <c r="W110" s="35">
        <v>114.48</v>
      </c>
      <c r="X110" s="35">
        <v>93.61999999999999</v>
      </c>
      <c r="Y110" s="35">
        <v>118.34</v>
      </c>
      <c r="Z110" s="35">
        <v>167.32</v>
      </c>
      <c r="AA110" s="35">
        <v>111.16999999999992</v>
      </c>
      <c r="AB110" s="35">
        <v>99.48</v>
      </c>
      <c r="AC110" s="35">
        <v>123.04999999999993</v>
      </c>
      <c r="AD110" s="69">
        <f t="shared" si="159"/>
        <v>3.9800574615513895E-2</v>
      </c>
      <c r="AE110" s="69">
        <f t="shared" si="160"/>
        <v>0.23693204664254042</v>
      </c>
      <c r="AF110" s="75"/>
      <c r="AI110" s="111"/>
      <c r="AJ110" s="111"/>
    </row>
    <row r="111" spans="1:36" x14ac:dyDescent="0.35">
      <c r="A111" s="1" t="s">
        <v>86</v>
      </c>
      <c r="B111" s="35">
        <v>3063.58</v>
      </c>
      <c r="C111" s="35">
        <v>3252.15</v>
      </c>
      <c r="D111" s="35">
        <v>5226.6099999999988</v>
      </c>
      <c r="E111" s="26">
        <v>9334.26</v>
      </c>
      <c r="F111" s="35">
        <v>13805.43</v>
      </c>
      <c r="G111" s="35">
        <v>15736.85</v>
      </c>
      <c r="H111" s="35">
        <f t="shared" si="156"/>
        <v>18173.390000000003</v>
      </c>
      <c r="I111" s="35">
        <f t="shared" si="157"/>
        <v>21214.850000000006</v>
      </c>
      <c r="J111" s="26"/>
      <c r="N111" s="35">
        <v>9726.3599999999988</v>
      </c>
      <c r="O111" s="35">
        <v>9879.75</v>
      </c>
      <c r="P111" s="35">
        <v>10920.54</v>
      </c>
      <c r="Q111" s="35">
        <f t="shared" si="158"/>
        <v>13805.43</v>
      </c>
      <c r="R111" s="35">
        <v>14172.64</v>
      </c>
      <c r="S111" s="35">
        <v>14626.879999999997</v>
      </c>
      <c r="T111" s="35">
        <v>15100.25</v>
      </c>
      <c r="U111" s="35">
        <f t="shared" si="161"/>
        <v>15736.85</v>
      </c>
      <c r="V111" s="35">
        <v>16279.21</v>
      </c>
      <c r="W111" s="35">
        <v>16856.190000000002</v>
      </c>
      <c r="X111" s="35">
        <v>17483.3</v>
      </c>
      <c r="Y111" s="35">
        <v>18173.390000000003</v>
      </c>
      <c r="Z111" s="35">
        <v>18679.72</v>
      </c>
      <c r="AA111" s="35">
        <v>19467.320000000003</v>
      </c>
      <c r="AB111" s="35">
        <v>20318.040000000005</v>
      </c>
      <c r="AC111" s="35">
        <v>21214.850000000006</v>
      </c>
      <c r="AD111" s="69">
        <f t="shared" si="159"/>
        <v>0.16735787874469232</v>
      </c>
      <c r="AE111" s="69">
        <f t="shared" si="160"/>
        <v>4.4138607857844514E-2</v>
      </c>
      <c r="AF111" s="75"/>
      <c r="AI111" s="111"/>
      <c r="AJ111" s="111"/>
    </row>
    <row r="112" spans="1:36" s="2" customFormat="1" x14ac:dyDescent="0.35">
      <c r="A112" s="2" t="s">
        <v>35</v>
      </c>
      <c r="B112" s="24">
        <f t="shared" ref="B112:G112" si="162">SUM(B104:B111)</f>
        <v>9889.58</v>
      </c>
      <c r="C112" s="24">
        <f t="shared" si="162"/>
        <v>13649.42</v>
      </c>
      <c r="D112" s="24">
        <f t="shared" si="162"/>
        <v>24815.260000000002</v>
      </c>
      <c r="E112" s="4">
        <f t="shared" si="162"/>
        <v>34802.090000000004</v>
      </c>
      <c r="F112" s="24">
        <f t="shared" si="162"/>
        <v>45101.549999999996</v>
      </c>
      <c r="G112" s="24">
        <f t="shared" si="162"/>
        <v>51178.15</v>
      </c>
      <c r="H112" s="24">
        <f t="shared" ref="H112:I112" si="163">SUM(H104:H111)</f>
        <v>67389.61</v>
      </c>
      <c r="I112" s="24">
        <f t="shared" si="163"/>
        <v>95339.56</v>
      </c>
      <c r="J112" s="4"/>
      <c r="N112" s="24">
        <f t="shared" ref="N112:W112" si="164">SUM(N104:N111)</f>
        <v>36987.93</v>
      </c>
      <c r="O112" s="24">
        <f t="shared" si="164"/>
        <v>37223.769999999997</v>
      </c>
      <c r="P112" s="24">
        <f t="shared" si="164"/>
        <v>40084.19</v>
      </c>
      <c r="Q112" s="24">
        <f t="shared" si="164"/>
        <v>45101.549999999996</v>
      </c>
      <c r="R112" s="24">
        <f t="shared" si="164"/>
        <v>45780.279999999984</v>
      </c>
      <c r="S112" s="24">
        <f t="shared" si="164"/>
        <v>46324.61</v>
      </c>
      <c r="T112" s="24">
        <f>SUM(T104:T111)</f>
        <v>46310.049999999988</v>
      </c>
      <c r="U112" s="24">
        <f t="shared" si="164"/>
        <v>51178.15</v>
      </c>
      <c r="V112" s="24">
        <f t="shared" si="164"/>
        <v>54952.56</v>
      </c>
      <c r="W112" s="24">
        <f t="shared" si="164"/>
        <v>59563.200000000012</v>
      </c>
      <c r="X112" s="24">
        <f t="shared" ref="X112:Y112" si="165">SUM(X104:X111)</f>
        <v>65496.420000000013</v>
      </c>
      <c r="Y112" s="24">
        <f t="shared" si="165"/>
        <v>67389.61</v>
      </c>
      <c r="Z112" s="24">
        <f t="shared" ref="Z112:AA112" si="166">SUM(Z104:Z111)</f>
        <v>76077.579999999987</v>
      </c>
      <c r="AA112" s="24">
        <f t="shared" si="166"/>
        <v>80434.3</v>
      </c>
      <c r="AB112" s="24">
        <f>SUM(AB104:AB111)</f>
        <v>90041.47</v>
      </c>
      <c r="AC112" s="24">
        <f>SUM(AC104:AC111)</f>
        <v>95339.56</v>
      </c>
      <c r="AD112" s="71">
        <f t="shared" si="159"/>
        <v>0.41475162120688935</v>
      </c>
      <c r="AE112" s="71">
        <f t="shared" si="160"/>
        <v>5.884055424683754E-2</v>
      </c>
      <c r="AF112" s="76"/>
      <c r="AG112" s="124"/>
    </row>
    <row r="113" spans="1:34" x14ac:dyDescent="0.35">
      <c r="A113" s="1" t="s">
        <v>180</v>
      </c>
      <c r="B113" s="42">
        <f t="shared" ref="B113:G113" si="167">B112-B101</f>
        <v>0</v>
      </c>
      <c r="C113" s="42">
        <f t="shared" si="167"/>
        <v>0</v>
      </c>
      <c r="D113" s="42">
        <f t="shared" si="167"/>
        <v>0</v>
      </c>
      <c r="E113" s="39">
        <f t="shared" si="167"/>
        <v>0</v>
      </c>
      <c r="F113" s="46">
        <f t="shared" si="167"/>
        <v>0</v>
      </c>
      <c r="G113" s="46">
        <f t="shared" si="167"/>
        <v>0</v>
      </c>
      <c r="H113" s="46">
        <f t="shared" ref="H113:I113" si="168">H112-H101</f>
        <v>0</v>
      </c>
      <c r="I113" s="46">
        <f t="shared" si="168"/>
        <v>0</v>
      </c>
      <c r="J113" s="39"/>
      <c r="N113" s="46">
        <f t="shared" ref="N113:U113" si="169">N112-N101</f>
        <v>0</v>
      </c>
      <c r="O113" s="46">
        <f t="shared" si="169"/>
        <v>0</v>
      </c>
      <c r="P113" s="46">
        <f t="shared" si="169"/>
        <v>0</v>
      </c>
      <c r="Q113" s="46">
        <f t="shared" si="169"/>
        <v>0</v>
      </c>
      <c r="R113" s="46">
        <f t="shared" si="169"/>
        <v>0</v>
      </c>
      <c r="S113" s="46">
        <f t="shared" si="169"/>
        <v>0</v>
      </c>
      <c r="T113" s="46">
        <f>T112-T101</f>
        <v>0</v>
      </c>
      <c r="U113" s="46">
        <f t="shared" si="169"/>
        <v>0</v>
      </c>
      <c r="V113" s="46">
        <f t="shared" ref="V113:W113" si="170">V112-V101</f>
        <v>0</v>
      </c>
      <c r="W113" s="46">
        <f t="shared" si="170"/>
        <v>0</v>
      </c>
      <c r="X113" s="42">
        <f t="shared" ref="X113:Y113" si="171">X112-X101</f>
        <v>0</v>
      </c>
      <c r="Y113" s="42">
        <f t="shared" si="171"/>
        <v>0</v>
      </c>
      <c r="Z113" s="42">
        <f t="shared" ref="Z113:AA113" si="172">Z112-Z101</f>
        <v>0</v>
      </c>
      <c r="AA113" s="42">
        <f t="shared" si="172"/>
        <v>0</v>
      </c>
      <c r="AB113" s="42">
        <f t="shared" ref="AB113:AC113" si="173">AB112-AB101</f>
        <v>0</v>
      </c>
      <c r="AC113" s="42">
        <f t="shared" si="173"/>
        <v>0</v>
      </c>
    </row>
    <row r="114" spans="1:34" x14ac:dyDescent="0.35">
      <c r="F114" s="35"/>
      <c r="G114" s="35"/>
      <c r="H114" s="35"/>
      <c r="I114" s="35"/>
    </row>
    <row r="115" spans="1:34" s="14" customFormat="1" ht="13.5" x14ac:dyDescent="0.35">
      <c r="N115" s="56"/>
      <c r="O115" s="56"/>
      <c r="P115" s="84"/>
      <c r="Q115" s="56"/>
      <c r="R115" s="56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72"/>
      <c r="AE115" s="72"/>
      <c r="AF115" s="72"/>
    </row>
    <row r="116" spans="1:34" s="5" customFormat="1" x14ac:dyDescent="0.35">
      <c r="A116" s="5" t="s">
        <v>143</v>
      </c>
      <c r="B116" s="22" t="str">
        <f t="shared" ref="B116:I116" si="174">B$1</f>
        <v>FY17</v>
      </c>
      <c r="C116" s="22" t="str">
        <f t="shared" si="174"/>
        <v>FY18</v>
      </c>
      <c r="D116" s="22" t="str">
        <f t="shared" si="174"/>
        <v>FY19</v>
      </c>
      <c r="E116" s="22" t="str">
        <f t="shared" si="174"/>
        <v>FY20</v>
      </c>
      <c r="F116" s="22" t="str">
        <f t="shared" si="174"/>
        <v>FY21</v>
      </c>
      <c r="G116" s="22" t="str">
        <f t="shared" si="174"/>
        <v>FY22</v>
      </c>
      <c r="H116" s="22" t="str">
        <f t="shared" si="174"/>
        <v>FY23</v>
      </c>
      <c r="I116" s="22" t="str">
        <f t="shared" si="174"/>
        <v>FY24</v>
      </c>
      <c r="J116" s="22" t="str">
        <f>J$1</f>
        <v>Yoy%</v>
      </c>
      <c r="N116" s="6" t="str">
        <f t="shared" ref="N116:AE116" si="175">N$1</f>
        <v>Q1FY21</v>
      </c>
      <c r="O116" s="6" t="str">
        <f t="shared" si="175"/>
        <v>Q2FY21</v>
      </c>
      <c r="P116" s="80" t="str">
        <f t="shared" si="175"/>
        <v>Q3FY21</v>
      </c>
      <c r="Q116" s="6" t="str">
        <f t="shared" si="175"/>
        <v>Q4FY21</v>
      </c>
      <c r="R116" s="6" t="str">
        <f t="shared" si="175"/>
        <v>Q1FY22</v>
      </c>
      <c r="S116" s="80" t="str">
        <f t="shared" si="175"/>
        <v>Q2FY22</v>
      </c>
      <c r="T116" s="80" t="str">
        <f t="shared" si="175"/>
        <v>Q3FY22</v>
      </c>
      <c r="U116" s="80" t="str">
        <f t="shared" si="175"/>
        <v>Q4FY22</v>
      </c>
      <c r="V116" s="80" t="str">
        <f t="shared" si="175"/>
        <v>Q1FY23</v>
      </c>
      <c r="W116" s="80" t="str">
        <f t="shared" si="175"/>
        <v>Q2FY23</v>
      </c>
      <c r="X116" s="80" t="str">
        <f t="shared" si="175"/>
        <v>Q3FY23</v>
      </c>
      <c r="Y116" s="80" t="str">
        <f t="shared" si="175"/>
        <v>Q4FY23</v>
      </c>
      <c r="Z116" s="80" t="str">
        <f t="shared" si="175"/>
        <v>Q1FY24</v>
      </c>
      <c r="AA116" s="80" t="str">
        <f t="shared" si="175"/>
        <v>Q2FY24</v>
      </c>
      <c r="AB116" s="80" t="str">
        <f t="shared" si="175"/>
        <v>Q3FY24</v>
      </c>
      <c r="AC116" s="80" t="str">
        <f t="shared" si="175"/>
        <v>Q4FY24</v>
      </c>
      <c r="AD116" s="6" t="str">
        <f t="shared" si="175"/>
        <v>y-o-y</v>
      </c>
      <c r="AE116" s="6" t="str">
        <f t="shared" si="175"/>
        <v>q-o-q</v>
      </c>
      <c r="AF116" s="6"/>
    </row>
    <row r="117" spans="1:34" s="2" customFormat="1" x14ac:dyDescent="0.35">
      <c r="A117" s="2" t="s">
        <v>19</v>
      </c>
      <c r="B117" s="4">
        <f t="shared" ref="B117:G117" si="176">SUM(B118:B122)</f>
        <v>6630.4499999999989</v>
      </c>
      <c r="C117" s="4">
        <f t="shared" si="176"/>
        <v>10198.76</v>
      </c>
      <c r="D117" s="4">
        <f t="shared" si="176"/>
        <v>19256.41</v>
      </c>
      <c r="E117" s="4">
        <f t="shared" si="176"/>
        <v>24938.05</v>
      </c>
      <c r="F117" s="4">
        <f t="shared" si="176"/>
        <v>30536.89</v>
      </c>
      <c r="G117" s="4">
        <f t="shared" si="176"/>
        <v>34667.67</v>
      </c>
      <c r="H117" s="4">
        <f t="shared" ref="H117:I117" si="177">SUM(H118:H122)</f>
        <v>48134.729999999996</v>
      </c>
      <c r="I117" s="4">
        <f t="shared" si="177"/>
        <v>73021.01999999999</v>
      </c>
      <c r="J117" s="30">
        <f t="shared" ref="J117:J124" si="178">I117/H117-1</f>
        <v>0.51701318362022586</v>
      </c>
      <c r="N117" s="24">
        <f t="shared" ref="N117:U117" si="179">SUM(N118:N122)</f>
        <v>26540.76</v>
      </c>
      <c r="O117" s="24">
        <f t="shared" si="179"/>
        <v>26365.78</v>
      </c>
      <c r="P117" s="24">
        <f t="shared" si="179"/>
        <v>28393.51</v>
      </c>
      <c r="Q117" s="4">
        <f t="shared" si="179"/>
        <v>30536.89</v>
      </c>
      <c r="R117" s="4">
        <f t="shared" si="179"/>
        <v>30834.510000000002</v>
      </c>
      <c r="S117" s="4">
        <f t="shared" si="179"/>
        <v>30753.62</v>
      </c>
      <c r="T117" s="4">
        <f>SUM(T118:T122)</f>
        <v>30235.810000000005</v>
      </c>
      <c r="U117" s="4">
        <f t="shared" si="179"/>
        <v>34667.67</v>
      </c>
      <c r="V117" s="4">
        <f t="shared" ref="V117" si="180">SUM(V118:V122)</f>
        <v>37803.32</v>
      </c>
      <c r="W117" s="4">
        <f t="shared" ref="W117:AB117" si="181">SUM(W118:W122)</f>
        <v>41540.679999999993</v>
      </c>
      <c r="X117" s="4">
        <f t="shared" si="181"/>
        <v>47013.88</v>
      </c>
      <c r="Y117" s="4">
        <f t="shared" si="181"/>
        <v>48134.729999999996</v>
      </c>
      <c r="Z117" s="4">
        <f t="shared" si="181"/>
        <v>56263.66</v>
      </c>
      <c r="AA117" s="4">
        <f t="shared" si="181"/>
        <v>60017.600000000006</v>
      </c>
      <c r="AB117" s="4">
        <f t="shared" si="181"/>
        <v>68462.600000000006</v>
      </c>
      <c r="AC117" s="4">
        <f>SUM(AC118:AC122)</f>
        <v>73021.01999999999</v>
      </c>
      <c r="AD117" s="71">
        <f t="shared" ref="AD117:AD126" si="182">IFERROR(AC117/Y117-1,"")</f>
        <v>0.51701318362022586</v>
      </c>
      <c r="AE117" s="71">
        <f t="shared" ref="AE117:AE126" si="183">IFERROR(AC117/AB117-1,"")</f>
        <v>6.6582630516515362E-2</v>
      </c>
      <c r="AF117" s="76"/>
    </row>
    <row r="118" spans="1:34" x14ac:dyDescent="0.35">
      <c r="A118" s="1" t="s">
        <v>8</v>
      </c>
      <c r="B118" s="26">
        <v>375.48</v>
      </c>
      <c r="C118" s="26">
        <v>2144.9299999999998</v>
      </c>
      <c r="D118" s="26">
        <v>4447.04</v>
      </c>
      <c r="E118" s="26">
        <v>7536.2</v>
      </c>
      <c r="F118" s="26">
        <v>7378.38</v>
      </c>
      <c r="G118" s="26">
        <v>10288.67</v>
      </c>
      <c r="H118" s="26">
        <f t="shared" ref="H118:H122" si="184">Y118</f>
        <v>18756.46</v>
      </c>
      <c r="I118" s="26">
        <f>AC118</f>
        <v>27369.88</v>
      </c>
      <c r="J118" s="30">
        <f t="shared" si="178"/>
        <v>0.45922418196184145</v>
      </c>
      <c r="N118" s="26">
        <v>7083.02</v>
      </c>
      <c r="O118" s="26">
        <v>7518.78</v>
      </c>
      <c r="P118" s="26">
        <v>6711.61</v>
      </c>
      <c r="Q118" s="26">
        <f>F118</f>
        <v>7378.38</v>
      </c>
      <c r="R118" s="26">
        <v>8154.72</v>
      </c>
      <c r="S118" s="26">
        <v>8332.14</v>
      </c>
      <c r="T118" s="26">
        <v>8016.9272955891402</v>
      </c>
      <c r="U118" s="26">
        <f>G118</f>
        <v>10288.67</v>
      </c>
      <c r="V118" s="26">
        <v>12015.77</v>
      </c>
      <c r="W118" s="26">
        <v>16703.419999999998</v>
      </c>
      <c r="X118" s="26">
        <v>18451.64</v>
      </c>
      <c r="Y118" s="26">
        <v>18756.46</v>
      </c>
      <c r="Z118" s="26">
        <f>36859.44-Z119</f>
        <v>21924.090000000004</v>
      </c>
      <c r="AA118" s="26">
        <f>39704.57-AA119</f>
        <v>24351.86</v>
      </c>
      <c r="AB118" s="26">
        <v>25892.490000000005</v>
      </c>
      <c r="AC118" s="26">
        <v>27369.88</v>
      </c>
      <c r="AD118" s="69">
        <f t="shared" si="182"/>
        <v>0.45922418196184145</v>
      </c>
      <c r="AE118" s="69">
        <f t="shared" si="183"/>
        <v>5.7058629741673972E-2</v>
      </c>
      <c r="AF118" s="75"/>
      <c r="AH118" s="111"/>
    </row>
    <row r="119" spans="1:34" x14ac:dyDescent="0.35">
      <c r="A119" s="1" t="s">
        <v>9</v>
      </c>
      <c r="B119" s="26">
        <v>5666.98</v>
      </c>
      <c r="C119" s="26">
        <v>5598.82</v>
      </c>
      <c r="D119" s="26">
        <v>8941.74</v>
      </c>
      <c r="E119" s="26">
        <v>10256.77</v>
      </c>
      <c r="F119" s="26">
        <v>9368.01</v>
      </c>
      <c r="G119" s="26">
        <v>9960.07</v>
      </c>
      <c r="H119" s="26">
        <f t="shared" si="184"/>
        <v>15650.78</v>
      </c>
      <c r="I119" s="26">
        <f t="shared" ref="I119:I122" si="185">AC119</f>
        <v>25694.55</v>
      </c>
      <c r="J119" s="30">
        <f t="shared" si="178"/>
        <v>0.64174245628652371</v>
      </c>
      <c r="N119" s="26">
        <v>9771.73</v>
      </c>
      <c r="O119" s="26">
        <v>9003.24</v>
      </c>
      <c r="P119" s="26">
        <v>9683.4199999999983</v>
      </c>
      <c r="Q119" s="26">
        <f>F119</f>
        <v>9368.01</v>
      </c>
      <c r="R119" s="26">
        <v>9556.18</v>
      </c>
      <c r="S119" s="26">
        <v>9468.2199999999993</v>
      </c>
      <c r="T119" s="26">
        <v>10067.982704410862</v>
      </c>
      <c r="U119" s="26">
        <f>G119</f>
        <v>9960.07</v>
      </c>
      <c r="V119" s="26">
        <v>10745.61</v>
      </c>
      <c r="W119" s="26">
        <v>10588.5</v>
      </c>
      <c r="X119" s="26">
        <v>13942.35</v>
      </c>
      <c r="Y119" s="26">
        <v>15650.78</v>
      </c>
      <c r="Z119" s="26">
        <v>14935.35</v>
      </c>
      <c r="AA119" s="26">
        <f>15352.71</f>
        <v>15352.71</v>
      </c>
      <c r="AB119" s="26">
        <v>20565.669999999998</v>
      </c>
      <c r="AC119" s="26">
        <v>25694.55</v>
      </c>
      <c r="AD119" s="69">
        <f t="shared" si="182"/>
        <v>0.64174245628652371</v>
      </c>
      <c r="AE119" s="69">
        <f t="shared" si="183"/>
        <v>0.24939036753969113</v>
      </c>
      <c r="AF119" s="75"/>
      <c r="AH119" s="111"/>
    </row>
    <row r="120" spans="1:34" x14ac:dyDescent="0.35">
      <c r="A120" s="1" t="s">
        <v>10</v>
      </c>
      <c r="B120" s="26" t="s">
        <v>17</v>
      </c>
      <c r="C120" s="26" t="s">
        <v>16</v>
      </c>
      <c r="D120" s="26" t="s">
        <v>15</v>
      </c>
      <c r="E120" s="26">
        <v>601.41999999999996</v>
      </c>
      <c r="F120" s="26">
        <v>427.77</v>
      </c>
      <c r="G120" s="26">
        <v>788.26</v>
      </c>
      <c r="H120" s="26">
        <f t="shared" si="184"/>
        <v>1128.1400000000001</v>
      </c>
      <c r="I120" s="26">
        <f t="shared" si="185"/>
        <v>1484.8899999999999</v>
      </c>
      <c r="J120" s="30">
        <f t="shared" si="178"/>
        <v>0.31622848228056788</v>
      </c>
      <c r="N120" s="26">
        <v>560.41999999999996</v>
      </c>
      <c r="O120" s="26">
        <v>514.65</v>
      </c>
      <c r="P120" s="26">
        <v>472.91999999999996</v>
      </c>
      <c r="Q120" s="26">
        <f>F120</f>
        <v>427.77</v>
      </c>
      <c r="R120" s="26">
        <v>385.42</v>
      </c>
      <c r="S120" s="26">
        <v>837.5</v>
      </c>
      <c r="T120" s="26">
        <v>865.08999999999992</v>
      </c>
      <c r="U120" s="26">
        <f>G120</f>
        <v>788.26</v>
      </c>
      <c r="V120" s="26">
        <v>1466.82</v>
      </c>
      <c r="W120" s="26">
        <v>1350.26</v>
      </c>
      <c r="X120" s="26">
        <v>1239.24</v>
      </c>
      <c r="Y120" s="26">
        <v>1128.1400000000001</v>
      </c>
      <c r="Z120" s="26">
        <v>1857.5699999999997</v>
      </c>
      <c r="AA120" s="26">
        <v>1729.23</v>
      </c>
      <c r="AB120" s="26">
        <v>1600.8500000000001</v>
      </c>
      <c r="AC120" s="26">
        <v>1484.8899999999999</v>
      </c>
      <c r="AD120" s="69">
        <f t="shared" si="182"/>
        <v>0.31622848228056788</v>
      </c>
      <c r="AE120" s="69">
        <f t="shared" si="183"/>
        <v>-7.2436518099759706E-2</v>
      </c>
      <c r="AF120" s="75"/>
    </row>
    <row r="121" spans="1:34" x14ac:dyDescent="0.35">
      <c r="A121" s="1" t="s">
        <v>11</v>
      </c>
      <c r="B121" s="26">
        <v>587.99</v>
      </c>
      <c r="C121" s="26">
        <v>2455.0100000000002</v>
      </c>
      <c r="D121" s="26">
        <v>5867.63</v>
      </c>
      <c r="E121" s="26">
        <v>6543.66</v>
      </c>
      <c r="F121" s="26">
        <v>10966.87</v>
      </c>
      <c r="G121" s="26">
        <v>11942.85</v>
      </c>
      <c r="H121" s="26">
        <f t="shared" si="184"/>
        <v>9129.86</v>
      </c>
      <c r="I121" s="26">
        <f t="shared" si="185"/>
        <v>15696.419999999998</v>
      </c>
      <c r="J121" s="30">
        <f t="shared" si="178"/>
        <v>0.71923994453365081</v>
      </c>
      <c r="N121" s="26">
        <v>7230.44</v>
      </c>
      <c r="O121" s="26">
        <v>6934.53</v>
      </c>
      <c r="P121" s="26">
        <v>9130.34</v>
      </c>
      <c r="Q121" s="26">
        <f>F121</f>
        <v>10966.87</v>
      </c>
      <c r="R121" s="26">
        <v>10341.69</v>
      </c>
      <c r="S121" s="26">
        <v>9718.5499999999993</v>
      </c>
      <c r="T121" s="26">
        <v>9098.09</v>
      </c>
      <c r="U121" s="26">
        <f>G121</f>
        <v>11942.85</v>
      </c>
      <c r="V121" s="26">
        <v>11886.89</v>
      </c>
      <c r="W121" s="26">
        <v>11209.83</v>
      </c>
      <c r="X121" s="26">
        <v>9912.86</v>
      </c>
      <c r="Y121" s="26">
        <v>9129.86</v>
      </c>
      <c r="Z121" s="26">
        <v>14775.56</v>
      </c>
      <c r="AA121" s="26">
        <v>15811.330000000002</v>
      </c>
      <c r="AB121" s="26">
        <v>17629.740000000002</v>
      </c>
      <c r="AC121" s="26">
        <v>15696.419999999998</v>
      </c>
      <c r="AD121" s="69">
        <f t="shared" si="182"/>
        <v>0.71923994453365081</v>
      </c>
      <c r="AE121" s="69">
        <f t="shared" si="183"/>
        <v>-0.10966242270163962</v>
      </c>
      <c r="AF121" s="75"/>
    </row>
    <row r="122" spans="1:34" x14ac:dyDescent="0.35">
      <c r="A122" s="1" t="s">
        <v>12</v>
      </c>
      <c r="B122" s="26">
        <v>0</v>
      </c>
      <c r="C122" s="26">
        <v>0</v>
      </c>
      <c r="D122" s="26">
        <v>0</v>
      </c>
      <c r="E122" s="26">
        <v>0</v>
      </c>
      <c r="F122" s="26">
        <v>2395.86</v>
      </c>
      <c r="G122" s="26">
        <v>1687.82</v>
      </c>
      <c r="H122" s="26">
        <f t="shared" si="184"/>
        <v>3469.49</v>
      </c>
      <c r="I122" s="26">
        <f t="shared" si="185"/>
        <v>2775.28</v>
      </c>
      <c r="J122" s="30">
        <f t="shared" si="178"/>
        <v>-0.20008992676157</v>
      </c>
      <c r="N122" s="26">
        <v>1895.15</v>
      </c>
      <c r="O122" s="26">
        <v>2394.58</v>
      </c>
      <c r="P122" s="26">
        <v>2395.2199999999998</v>
      </c>
      <c r="Q122" s="26">
        <f>F122</f>
        <v>2395.86</v>
      </c>
      <c r="R122" s="26">
        <v>2396.5</v>
      </c>
      <c r="S122" s="26">
        <v>2397.21</v>
      </c>
      <c r="T122" s="26">
        <v>2187.7199999999998</v>
      </c>
      <c r="U122" s="26">
        <f>G122</f>
        <v>1687.82</v>
      </c>
      <c r="V122" s="26">
        <v>1688.23</v>
      </c>
      <c r="W122" s="26">
        <v>1688.67</v>
      </c>
      <c r="X122" s="26">
        <v>3467.79</v>
      </c>
      <c r="Y122" s="26">
        <v>3469.49</v>
      </c>
      <c r="Z122" s="26">
        <v>2771.09</v>
      </c>
      <c r="AA122" s="26">
        <v>2772.47</v>
      </c>
      <c r="AB122" s="26">
        <v>2773.85</v>
      </c>
      <c r="AC122" s="26">
        <v>2775.28</v>
      </c>
      <c r="AD122" s="69">
        <f t="shared" si="182"/>
        <v>-0.20008992676157</v>
      </c>
      <c r="AE122" s="69">
        <f t="shared" si="183"/>
        <v>5.1552895794659825E-4</v>
      </c>
      <c r="AF122" s="75"/>
    </row>
    <row r="123" spans="1:34" x14ac:dyDescent="0.35">
      <c r="A123" s="2" t="s">
        <v>241</v>
      </c>
      <c r="B123" s="4">
        <f t="shared" ref="B123" si="186">SUM(B124:B125)</f>
        <v>542.41999999999996</v>
      </c>
      <c r="C123" s="4">
        <f t="shared" ref="C123" si="187">SUM(C124:C125)</f>
        <v>374.62</v>
      </c>
      <c r="D123" s="4">
        <f t="shared" ref="D123" si="188">SUM(D124:D125)</f>
        <v>2920.65</v>
      </c>
      <c r="E123" s="4">
        <f t="shared" ref="E123" si="189">SUM(E124:E125)</f>
        <v>5760.9</v>
      </c>
      <c r="F123" s="4">
        <f t="shared" ref="F123:G123" si="190">SUM(F124:F125)</f>
        <v>7655.86</v>
      </c>
      <c r="G123" s="4">
        <f t="shared" si="190"/>
        <v>10251.59</v>
      </c>
      <c r="H123" s="4">
        <f t="shared" ref="H123:I123" si="191">SUM(H124:H125)</f>
        <v>11420.98</v>
      </c>
      <c r="I123" s="4">
        <f t="shared" si="191"/>
        <v>14932.63</v>
      </c>
      <c r="J123" s="30">
        <f t="shared" si="178"/>
        <v>0.30747361434833076</v>
      </c>
      <c r="N123" s="4">
        <f t="shared" ref="N123:AA123" si="192">SUM(N124:N125)</f>
        <v>7501.27</v>
      </c>
      <c r="O123" s="4">
        <f t="shared" si="192"/>
        <v>7175.2</v>
      </c>
      <c r="P123" s="4">
        <f t="shared" si="192"/>
        <v>6882.5057435312592</v>
      </c>
      <c r="Q123" s="4">
        <f t="shared" si="192"/>
        <v>7655.86</v>
      </c>
      <c r="R123" s="4">
        <f t="shared" si="192"/>
        <v>8487.92</v>
      </c>
      <c r="S123" s="4">
        <f t="shared" si="192"/>
        <v>9285.1</v>
      </c>
      <c r="T123" s="4">
        <f t="shared" si="192"/>
        <v>9914.15</v>
      </c>
      <c r="U123" s="4">
        <f t="shared" si="192"/>
        <v>10251.59</v>
      </c>
      <c r="V123" s="4">
        <f t="shared" si="192"/>
        <v>10584.06</v>
      </c>
      <c r="W123" s="4">
        <f t="shared" si="192"/>
        <v>10740.71</v>
      </c>
      <c r="X123" s="4">
        <f t="shared" si="192"/>
        <v>10995.27</v>
      </c>
      <c r="Y123" s="4">
        <f t="shared" si="192"/>
        <v>11420.98</v>
      </c>
      <c r="Z123" s="4">
        <f t="shared" si="192"/>
        <v>11951.71</v>
      </c>
      <c r="AA123" s="4">
        <f t="shared" si="192"/>
        <v>12774.5</v>
      </c>
      <c r="AB123" s="4">
        <f>SUM(AB124:AB125)</f>
        <v>14051.789999999999</v>
      </c>
      <c r="AC123" s="4">
        <f>SUM(AC124:AC125)</f>
        <v>14932.63</v>
      </c>
      <c r="AD123" s="71">
        <f t="shared" si="182"/>
        <v>0.30747361434833076</v>
      </c>
      <c r="AE123" s="71">
        <f t="shared" si="183"/>
        <v>6.2685252199186081E-2</v>
      </c>
      <c r="AF123" s="75"/>
    </row>
    <row r="124" spans="1:34" x14ac:dyDescent="0.35">
      <c r="A124" s="1" t="s">
        <v>239</v>
      </c>
      <c r="B124" s="26">
        <f t="shared" ref="B124:H125" si="193">B4</f>
        <v>542.41999999999996</v>
      </c>
      <c r="C124" s="26">
        <f t="shared" si="193"/>
        <v>374.62</v>
      </c>
      <c r="D124" s="26">
        <f t="shared" si="193"/>
        <v>2920.65</v>
      </c>
      <c r="E124" s="26">
        <f t="shared" si="193"/>
        <v>5760.9</v>
      </c>
      <c r="F124" s="26">
        <f t="shared" si="193"/>
        <v>7655.86</v>
      </c>
      <c r="G124" s="26">
        <f t="shared" si="193"/>
        <v>10251.59</v>
      </c>
      <c r="H124" s="26">
        <f t="shared" si="193"/>
        <v>10564.91</v>
      </c>
      <c r="I124" s="26">
        <f t="shared" ref="I124" si="194">I4</f>
        <v>12191.39</v>
      </c>
      <c r="J124" s="30">
        <f t="shared" si="178"/>
        <v>0.15395114582140312</v>
      </c>
      <c r="N124" s="26">
        <f t="shared" ref="N124:AB124" si="195">N4</f>
        <v>7501.27</v>
      </c>
      <c r="O124" s="26">
        <f t="shared" si="195"/>
        <v>7175.2</v>
      </c>
      <c r="P124" s="26">
        <f t="shared" si="195"/>
        <v>6882.5057435312592</v>
      </c>
      <c r="Q124" s="26">
        <f t="shared" si="195"/>
        <v>7655.86</v>
      </c>
      <c r="R124" s="26">
        <f t="shared" si="195"/>
        <v>8487.92</v>
      </c>
      <c r="S124" s="26">
        <f t="shared" si="195"/>
        <v>9285.1</v>
      </c>
      <c r="T124" s="26">
        <f t="shared" si="195"/>
        <v>9914.15</v>
      </c>
      <c r="U124" s="26">
        <f t="shared" si="195"/>
        <v>10251.59</v>
      </c>
      <c r="V124" s="26">
        <f t="shared" si="195"/>
        <v>10507.439999999999</v>
      </c>
      <c r="W124" s="26">
        <f t="shared" si="195"/>
        <v>10498.74</v>
      </c>
      <c r="X124" s="26">
        <f t="shared" si="195"/>
        <v>10455.25</v>
      </c>
      <c r="Y124" s="26">
        <f t="shared" si="195"/>
        <v>10564.91</v>
      </c>
      <c r="Z124" s="26">
        <f t="shared" si="195"/>
        <v>10770.24</v>
      </c>
      <c r="AA124" s="26">
        <f t="shared" si="195"/>
        <v>11135.94</v>
      </c>
      <c r="AB124" s="26">
        <f t="shared" si="195"/>
        <v>11881.97</v>
      </c>
      <c r="AC124" s="26">
        <f t="shared" ref="AC124" si="196">AC4</f>
        <v>12191.39</v>
      </c>
      <c r="AD124" s="69">
        <f t="shared" si="182"/>
        <v>0.15395114582140312</v>
      </c>
      <c r="AE124" s="69">
        <f t="shared" si="183"/>
        <v>2.604113627622362E-2</v>
      </c>
      <c r="AF124" s="75"/>
    </row>
    <row r="125" spans="1:34" x14ac:dyDescent="0.35">
      <c r="A125" s="1" t="s">
        <v>240</v>
      </c>
      <c r="B125" s="26">
        <f t="shared" si="193"/>
        <v>0</v>
      </c>
      <c r="C125" s="26">
        <f t="shared" si="193"/>
        <v>0</v>
      </c>
      <c r="D125" s="26">
        <f t="shared" si="193"/>
        <v>0</v>
      </c>
      <c r="E125" s="26">
        <f t="shared" si="193"/>
        <v>0</v>
      </c>
      <c r="F125" s="26">
        <f t="shared" si="193"/>
        <v>0</v>
      </c>
      <c r="G125" s="26">
        <f t="shared" si="193"/>
        <v>0</v>
      </c>
      <c r="H125" s="26">
        <f t="shared" si="193"/>
        <v>856.07</v>
      </c>
      <c r="I125" s="26">
        <f t="shared" ref="I125" si="197">I5</f>
        <v>2741.24</v>
      </c>
      <c r="J125" s="30">
        <f>I125/H125-1</f>
        <v>2.2021213218545208</v>
      </c>
      <c r="N125" s="26">
        <f t="shared" ref="N125:AB125" si="198">N5</f>
        <v>0</v>
      </c>
      <c r="O125" s="26">
        <f t="shared" si="198"/>
        <v>0</v>
      </c>
      <c r="P125" s="26">
        <f t="shared" si="198"/>
        <v>0</v>
      </c>
      <c r="Q125" s="26">
        <f t="shared" si="198"/>
        <v>0</v>
      </c>
      <c r="R125" s="26">
        <f t="shared" si="198"/>
        <v>0</v>
      </c>
      <c r="S125" s="26">
        <f t="shared" si="198"/>
        <v>0</v>
      </c>
      <c r="T125" s="26">
        <f t="shared" si="198"/>
        <v>0</v>
      </c>
      <c r="U125" s="26">
        <f t="shared" si="198"/>
        <v>0</v>
      </c>
      <c r="V125" s="26">
        <f t="shared" si="198"/>
        <v>76.62</v>
      </c>
      <c r="W125" s="26">
        <f t="shared" si="198"/>
        <v>241.97</v>
      </c>
      <c r="X125" s="26">
        <f t="shared" si="198"/>
        <v>540.02</v>
      </c>
      <c r="Y125" s="26">
        <f t="shared" si="198"/>
        <v>856.07</v>
      </c>
      <c r="Z125" s="26">
        <f t="shared" si="198"/>
        <v>1181.47</v>
      </c>
      <c r="AA125" s="26">
        <f t="shared" si="198"/>
        <v>1638.56</v>
      </c>
      <c r="AB125" s="26">
        <f t="shared" si="198"/>
        <v>2169.8200000000002</v>
      </c>
      <c r="AC125" s="26">
        <f t="shared" ref="AC125" si="199">AC5</f>
        <v>2741.24</v>
      </c>
      <c r="AD125" s="69">
        <f t="shared" si="182"/>
        <v>2.2021213218545208</v>
      </c>
      <c r="AE125" s="69">
        <f t="shared" si="183"/>
        <v>0.26334903356038719</v>
      </c>
      <c r="AF125" s="75"/>
    </row>
    <row r="126" spans="1:34" x14ac:dyDescent="0.35">
      <c r="A126" s="2" t="s">
        <v>147</v>
      </c>
      <c r="B126" s="4">
        <f t="shared" ref="B126:G126" si="200">B117+B123</f>
        <v>7172.869999999999</v>
      </c>
      <c r="C126" s="4">
        <f t="shared" si="200"/>
        <v>10573.380000000001</v>
      </c>
      <c r="D126" s="4">
        <f t="shared" si="200"/>
        <v>22177.06</v>
      </c>
      <c r="E126" s="4">
        <f t="shared" si="200"/>
        <v>30698.949999999997</v>
      </c>
      <c r="F126" s="4">
        <f t="shared" si="200"/>
        <v>38192.75</v>
      </c>
      <c r="G126" s="4">
        <f t="shared" si="200"/>
        <v>44919.259999999995</v>
      </c>
      <c r="H126" s="4">
        <f t="shared" ref="H126:I126" si="201">H117+H123</f>
        <v>59555.709999999992</v>
      </c>
      <c r="I126" s="4">
        <f t="shared" si="201"/>
        <v>87953.65</v>
      </c>
      <c r="J126" s="30">
        <f>I126/H126-1</f>
        <v>0.47682984553454255</v>
      </c>
      <c r="N126" s="4">
        <f t="shared" ref="N126:U126" si="202">N117+N123</f>
        <v>34042.03</v>
      </c>
      <c r="O126" s="4">
        <f t="shared" si="202"/>
        <v>33540.979999999996</v>
      </c>
      <c r="P126" s="4">
        <f t="shared" si="202"/>
        <v>35276.015743531258</v>
      </c>
      <c r="Q126" s="4">
        <f t="shared" si="202"/>
        <v>38192.75</v>
      </c>
      <c r="R126" s="4">
        <f t="shared" si="202"/>
        <v>39322.43</v>
      </c>
      <c r="S126" s="4">
        <f t="shared" si="202"/>
        <v>40038.720000000001</v>
      </c>
      <c r="T126" s="4">
        <f>T117+T123</f>
        <v>40149.960000000006</v>
      </c>
      <c r="U126" s="4">
        <f t="shared" si="202"/>
        <v>44919.259999999995</v>
      </c>
      <c r="V126" s="4">
        <f t="shared" ref="V126:W126" si="203">V117+V123</f>
        <v>48387.38</v>
      </c>
      <c r="W126" s="4">
        <f t="shared" si="203"/>
        <v>52281.389999999992</v>
      </c>
      <c r="X126" s="4">
        <f t="shared" ref="X126:AC126" si="204">X117+X123</f>
        <v>58009.149999999994</v>
      </c>
      <c r="Y126" s="4">
        <f t="shared" si="204"/>
        <v>59555.709999999992</v>
      </c>
      <c r="Z126" s="4">
        <f t="shared" si="204"/>
        <v>68215.37</v>
      </c>
      <c r="AA126" s="4">
        <f t="shared" si="204"/>
        <v>72792.100000000006</v>
      </c>
      <c r="AB126" s="4">
        <f t="shared" si="204"/>
        <v>82514.39</v>
      </c>
      <c r="AC126" s="4">
        <f t="shared" si="204"/>
        <v>87953.65</v>
      </c>
      <c r="AD126" s="71">
        <f t="shared" si="182"/>
        <v>0.47682984553454255</v>
      </c>
      <c r="AE126" s="71">
        <f t="shared" si="183"/>
        <v>6.5918926383628396E-2</v>
      </c>
      <c r="AF126" s="75"/>
    </row>
    <row r="128" spans="1:34" x14ac:dyDescent="0.35">
      <c r="A128" s="2" t="s">
        <v>148</v>
      </c>
    </row>
    <row r="129" spans="1:32" x14ac:dyDescent="0.35">
      <c r="A129" s="1" t="s">
        <v>8</v>
      </c>
      <c r="B129" s="16">
        <f t="shared" ref="B129:H133" si="205">IFERROR(B118/B$126,"")</f>
        <v>5.2347247336143002E-2</v>
      </c>
      <c r="C129" s="16">
        <f t="shared" si="205"/>
        <v>0.20286133667758083</v>
      </c>
      <c r="D129" s="16">
        <f t="shared" si="205"/>
        <v>0.20052432558689023</v>
      </c>
      <c r="E129" s="16">
        <f t="shared" si="205"/>
        <v>0.24548722350438698</v>
      </c>
      <c r="F129" s="16">
        <f t="shared" si="205"/>
        <v>0.193187974157399</v>
      </c>
      <c r="G129" s="90">
        <f t="shared" si="205"/>
        <v>0.22904807425589827</v>
      </c>
      <c r="H129" s="90">
        <f t="shared" si="205"/>
        <v>0.31493974297342775</v>
      </c>
      <c r="I129" s="90">
        <f t="shared" ref="I129" si="206">IFERROR(I118/I$126,"")</f>
        <v>0.31118526633061849</v>
      </c>
      <c r="J129" s="16"/>
      <c r="N129" s="16">
        <f t="shared" ref="N129:U133" si="207">N118/N$126</f>
        <v>0.2080669102283266</v>
      </c>
      <c r="O129" s="16">
        <f t="shared" si="207"/>
        <v>0.22416697425060331</v>
      </c>
      <c r="P129" s="16">
        <f t="shared" si="207"/>
        <v>0.19025986519553989</v>
      </c>
      <c r="Q129" s="16">
        <f t="shared" si="207"/>
        <v>0.193187974157399</v>
      </c>
      <c r="R129" s="16">
        <f t="shared" si="207"/>
        <v>0.20738087651246376</v>
      </c>
      <c r="S129" s="16">
        <f t="shared" si="207"/>
        <v>0.20810205720862204</v>
      </c>
      <c r="T129" s="16">
        <f t="shared" si="207"/>
        <v>0.19967460230568446</v>
      </c>
      <c r="U129" s="16">
        <f t="shared" si="207"/>
        <v>0.22904807425589827</v>
      </c>
      <c r="V129" s="16">
        <f t="shared" ref="V129:W129" si="208">V118/V$126</f>
        <v>0.24832445980749529</v>
      </c>
      <c r="W129" s="16">
        <f t="shared" si="208"/>
        <v>0.31949074039538738</v>
      </c>
      <c r="X129" s="16">
        <f t="shared" ref="X129:Y129" si="209">X118/X$126</f>
        <v>0.31808154403227767</v>
      </c>
      <c r="Y129" s="16">
        <f t="shared" si="209"/>
        <v>0.31493974297342775</v>
      </c>
      <c r="Z129" s="16">
        <f t="shared" ref="Z129:AA129" si="210">Z118/Z$126</f>
        <v>0.32139516358263548</v>
      </c>
      <c r="AA129" s="16">
        <f t="shared" si="210"/>
        <v>0.3345398745193503</v>
      </c>
      <c r="AB129" s="16">
        <f t="shared" ref="AB129:AC129" si="211">AB118/AB$126</f>
        <v>0.31379363042010011</v>
      </c>
      <c r="AC129" s="16">
        <f t="shared" si="211"/>
        <v>0.31118526633061849</v>
      </c>
    </row>
    <row r="130" spans="1:32" x14ac:dyDescent="0.35">
      <c r="A130" s="1" t="s">
        <v>9</v>
      </c>
      <c r="B130" s="16">
        <f t="shared" si="205"/>
        <v>0.79005753624420916</v>
      </c>
      <c r="C130" s="16">
        <f t="shared" si="205"/>
        <v>0.52952036151164517</v>
      </c>
      <c r="D130" s="16">
        <f t="shared" si="205"/>
        <v>0.40319771872376226</v>
      </c>
      <c r="E130" s="16">
        <f t="shared" si="205"/>
        <v>0.33410816982339792</v>
      </c>
      <c r="F130" s="16">
        <f t="shared" si="205"/>
        <v>0.24528241616537172</v>
      </c>
      <c r="G130" s="90">
        <f t="shared" si="205"/>
        <v>0.22173272667448218</v>
      </c>
      <c r="H130" s="90">
        <f t="shared" si="205"/>
        <v>0.26279226626632446</v>
      </c>
      <c r="I130" s="90">
        <f t="shared" ref="I130" si="212">IFERROR(I119/I$126,"")</f>
        <v>0.29213739281996826</v>
      </c>
      <c r="J130" s="16"/>
      <c r="N130" s="16">
        <f t="shared" si="207"/>
        <v>0.28704898033401649</v>
      </c>
      <c r="O130" s="16">
        <f t="shared" si="207"/>
        <v>0.26842507285118089</v>
      </c>
      <c r="P130" s="16">
        <f t="shared" si="207"/>
        <v>0.27450435645572291</v>
      </c>
      <c r="Q130" s="16">
        <f t="shared" si="207"/>
        <v>0.24528241616537172</v>
      </c>
      <c r="R130" s="16">
        <f t="shared" si="207"/>
        <v>0.24302109508491718</v>
      </c>
      <c r="S130" s="16">
        <f t="shared" si="207"/>
        <v>0.23647659066024088</v>
      </c>
      <c r="T130" s="16">
        <f t="shared" si="207"/>
        <v>0.25075947035590723</v>
      </c>
      <c r="U130" s="16">
        <f t="shared" si="207"/>
        <v>0.22173272667448218</v>
      </c>
      <c r="V130" s="16">
        <f t="shared" ref="V130:W130" si="213">V119/V$126</f>
        <v>0.22207464012310651</v>
      </c>
      <c r="W130" s="16">
        <f t="shared" si="213"/>
        <v>0.20252904523005225</v>
      </c>
      <c r="X130" s="16">
        <f t="shared" ref="X130:Y130" si="214">X119/X$126</f>
        <v>0.24034742794886671</v>
      </c>
      <c r="Y130" s="16">
        <f t="shared" si="214"/>
        <v>0.26279226626632446</v>
      </c>
      <c r="Z130" s="16">
        <f t="shared" ref="Z130:AA130" si="215">Z119/Z$126</f>
        <v>0.21894405908814979</v>
      </c>
      <c r="AA130" s="16">
        <f t="shared" si="215"/>
        <v>0.21091176102901274</v>
      </c>
      <c r="AB130" s="16">
        <f t="shared" ref="AB130:AC130" si="216">AB119/AB$126</f>
        <v>0.24923737544445276</v>
      </c>
      <c r="AC130" s="16">
        <f t="shared" si="216"/>
        <v>0.29213739281996826</v>
      </c>
    </row>
    <row r="131" spans="1:32" x14ac:dyDescent="0.35">
      <c r="A131" s="1" t="s">
        <v>10</v>
      </c>
      <c r="B131" s="16" t="str">
        <f t="shared" si="205"/>
        <v/>
      </c>
      <c r="C131" s="16" t="str">
        <f t="shared" si="205"/>
        <v/>
      </c>
      <c r="D131" s="16" t="str">
        <f t="shared" si="205"/>
        <v/>
      </c>
      <c r="E131" s="16">
        <f t="shared" si="205"/>
        <v>1.9590898060031371E-2</v>
      </c>
      <c r="F131" s="16">
        <f t="shared" si="205"/>
        <v>1.1200293249373244E-2</v>
      </c>
      <c r="G131" s="90">
        <f t="shared" si="205"/>
        <v>1.754837457251077E-2</v>
      </c>
      <c r="H131" s="90">
        <f t="shared" si="205"/>
        <v>1.8942600130197426E-2</v>
      </c>
      <c r="I131" s="90">
        <f t="shared" ref="I131" si="217">IFERROR(I120/I$126,"")</f>
        <v>1.6882642164367256E-2</v>
      </c>
      <c r="J131" s="16"/>
      <c r="N131" s="16">
        <f t="shared" si="207"/>
        <v>1.646259050943789E-2</v>
      </c>
      <c r="O131" s="16">
        <f t="shared" si="207"/>
        <v>1.5343916605895238E-2</v>
      </c>
      <c r="P131" s="16">
        <f t="shared" si="207"/>
        <v>1.3406275908206037E-2</v>
      </c>
      <c r="Q131" s="16">
        <f t="shared" si="207"/>
        <v>1.1200293249373244E-2</v>
      </c>
      <c r="R131" s="16">
        <f t="shared" si="207"/>
        <v>9.8015305768234563E-3</v>
      </c>
      <c r="S131" s="16">
        <f t="shared" si="207"/>
        <v>2.091725209996723E-2</v>
      </c>
      <c r="T131" s="16">
        <f t="shared" si="207"/>
        <v>2.1546472275439373E-2</v>
      </c>
      <c r="U131" s="16">
        <f t="shared" si="207"/>
        <v>1.754837457251077E-2</v>
      </c>
      <c r="V131" s="16">
        <f t="shared" ref="V131:W131" si="218">V120/V$126</f>
        <v>3.0314102561453008E-2</v>
      </c>
      <c r="W131" s="16">
        <f t="shared" si="218"/>
        <v>2.5826780810533159E-2</v>
      </c>
      <c r="X131" s="16">
        <f t="shared" ref="X131:Y131" si="219">X120/X$126</f>
        <v>2.136283672489599E-2</v>
      </c>
      <c r="Y131" s="16">
        <f t="shared" si="219"/>
        <v>1.8942600130197426E-2</v>
      </c>
      <c r="Z131" s="16">
        <f t="shared" ref="Z131:AA131" si="220">Z120/Z$126</f>
        <v>2.7230959826209253E-2</v>
      </c>
      <c r="AA131" s="16">
        <f t="shared" si="220"/>
        <v>2.3755737229726851E-2</v>
      </c>
      <c r="AB131" s="16">
        <f t="shared" ref="AB131:AC131" si="221">AB120/AB$126</f>
        <v>1.9400858444205915E-2</v>
      </c>
      <c r="AC131" s="16">
        <f t="shared" si="221"/>
        <v>1.6882642164367256E-2</v>
      </c>
    </row>
    <row r="132" spans="1:32" x14ac:dyDescent="0.35">
      <c r="A132" s="1" t="s">
        <v>11</v>
      </c>
      <c r="B132" s="16">
        <f t="shared" si="205"/>
        <v>8.1974160970434445E-2</v>
      </c>
      <c r="C132" s="16">
        <f t="shared" si="205"/>
        <v>0.23218781506008485</v>
      </c>
      <c r="D132" s="16">
        <f t="shared" si="205"/>
        <v>0.26458105808434479</v>
      </c>
      <c r="E132" s="16">
        <f t="shared" si="205"/>
        <v>0.21315582454774512</v>
      </c>
      <c r="F132" s="16">
        <f t="shared" si="205"/>
        <v>0.28714533517486962</v>
      </c>
      <c r="G132" s="90">
        <f t="shared" si="205"/>
        <v>0.26587370317320458</v>
      </c>
      <c r="H132" s="90">
        <f t="shared" si="205"/>
        <v>0.15329949051064964</v>
      </c>
      <c r="I132" s="90">
        <f t="shared" ref="I132" si="222">IFERROR(I121/I$126,"")</f>
        <v>0.17846240605136909</v>
      </c>
      <c r="J132" s="16"/>
      <c r="N132" s="16">
        <f t="shared" si="207"/>
        <v>0.21239743928314497</v>
      </c>
      <c r="O132" s="16">
        <f t="shared" si="207"/>
        <v>0.2067479841077989</v>
      </c>
      <c r="P132" s="16">
        <f t="shared" si="207"/>
        <v>0.25882571508020369</v>
      </c>
      <c r="Q132" s="16">
        <f t="shared" si="207"/>
        <v>0.28714533517486962</v>
      </c>
      <c r="R132" s="16">
        <f t="shared" si="207"/>
        <v>0.262997225756394</v>
      </c>
      <c r="S132" s="16">
        <f t="shared" si="207"/>
        <v>0.24272878853270033</v>
      </c>
      <c r="T132" s="16">
        <f t="shared" si="207"/>
        <v>0.22660271641615579</v>
      </c>
      <c r="U132" s="16">
        <f t="shared" si="207"/>
        <v>0.26587370317320458</v>
      </c>
      <c r="V132" s="16">
        <f t="shared" ref="V132:W132" si="223">V121/V$126</f>
        <v>0.24566095539787441</v>
      </c>
      <c r="W132" s="16">
        <f t="shared" si="223"/>
        <v>0.2144133887794491</v>
      </c>
      <c r="X132" s="16">
        <f t="shared" ref="X132:Y132" si="224">X121/X$126</f>
        <v>0.17088442081981897</v>
      </c>
      <c r="Y132" s="16">
        <f t="shared" si="224"/>
        <v>0.15329949051064964</v>
      </c>
      <c r="Z132" s="16">
        <f t="shared" ref="Z132:AA132" si="225">Z121/Z$126</f>
        <v>0.21660162511762379</v>
      </c>
      <c r="AA132" s="16">
        <f t="shared" si="225"/>
        <v>0.21721217000196449</v>
      </c>
      <c r="AB132" s="16">
        <f t="shared" ref="AB132:AC132" si="226">AB121/AB$126</f>
        <v>0.21365655129971878</v>
      </c>
      <c r="AC132" s="16">
        <f t="shared" si="226"/>
        <v>0.17846240605136909</v>
      </c>
    </row>
    <row r="133" spans="1:32" x14ac:dyDescent="0.35">
      <c r="A133" s="1" t="s">
        <v>12</v>
      </c>
      <c r="B133" s="16">
        <f t="shared" si="205"/>
        <v>0</v>
      </c>
      <c r="C133" s="16">
        <f t="shared" si="205"/>
        <v>0</v>
      </c>
      <c r="D133" s="16">
        <f t="shared" si="205"/>
        <v>0</v>
      </c>
      <c r="E133" s="16">
        <f t="shared" si="205"/>
        <v>0</v>
      </c>
      <c r="F133" s="16">
        <f t="shared" si="205"/>
        <v>6.2730753873444567E-2</v>
      </c>
      <c r="G133" s="90">
        <f t="shared" si="205"/>
        <v>3.7574528164533431E-2</v>
      </c>
      <c r="H133" s="90">
        <f t="shared" si="205"/>
        <v>5.8256210865423319E-2</v>
      </c>
      <c r="I133" s="90">
        <f t="shared" ref="I133" si="227">IFERROR(I122/I$126,"")</f>
        <v>3.1553892305776966E-2</v>
      </c>
      <c r="J133" s="16"/>
      <c r="N133" s="16">
        <f t="shared" si="207"/>
        <v>5.5670886841942158E-2</v>
      </c>
      <c r="O133" s="16">
        <f t="shared" si="207"/>
        <v>7.1392666523160633E-2</v>
      </c>
      <c r="P133" s="16">
        <f t="shared" si="207"/>
        <v>6.7899391399926554E-2</v>
      </c>
      <c r="Q133" s="16">
        <f t="shared" si="207"/>
        <v>6.2730753873444567E-2</v>
      </c>
      <c r="R133" s="16">
        <f t="shared" si="207"/>
        <v>6.0944860223541626E-2</v>
      </c>
      <c r="S133" s="16">
        <f t="shared" si="207"/>
        <v>5.9872293619776057E-2</v>
      </c>
      <c r="T133" s="16">
        <f t="shared" si="207"/>
        <v>5.4488721782039125E-2</v>
      </c>
      <c r="U133" s="16">
        <f t="shared" si="207"/>
        <v>3.7574528164533431E-2</v>
      </c>
      <c r="V133" s="16">
        <f t="shared" ref="V133:W133" si="228">V122/V$126</f>
        <v>3.4889882444554758E-2</v>
      </c>
      <c r="W133" s="16">
        <f t="shared" si="228"/>
        <v>3.2299638552073698E-2</v>
      </c>
      <c r="X133" s="16">
        <f t="shared" ref="X133:Y133" si="229">X122/X$126</f>
        <v>5.9780051940081874E-2</v>
      </c>
      <c r="Y133" s="16">
        <f t="shared" si="229"/>
        <v>5.8256210865423319E-2</v>
      </c>
      <c r="Z133" s="16">
        <f t="shared" ref="Z133:AA133" si="230">Z122/Z$126</f>
        <v>4.0622663191594507E-2</v>
      </c>
      <c r="AA133" s="16">
        <f t="shared" si="230"/>
        <v>3.80875122437737E-2</v>
      </c>
      <c r="AB133" s="16">
        <f t="shared" ref="AB133:AC133" si="231">AB122/AB$126</f>
        <v>3.3616560699291358E-2</v>
      </c>
      <c r="AC133" s="16">
        <f t="shared" si="231"/>
        <v>3.1553892305776966E-2</v>
      </c>
    </row>
    <row r="134" spans="1:32" x14ac:dyDescent="0.35">
      <c r="A134" s="1" t="s">
        <v>239</v>
      </c>
      <c r="B134" s="16">
        <f t="shared" ref="B134:F134" si="232">B124/B$126</f>
        <v>7.5621055449213506E-2</v>
      </c>
      <c r="C134" s="16">
        <f t="shared" si="232"/>
        <v>3.5430486750688994E-2</v>
      </c>
      <c r="D134" s="16">
        <f t="shared" si="232"/>
        <v>0.13169689760500264</v>
      </c>
      <c r="E134" s="16">
        <f t="shared" si="232"/>
        <v>0.1876578840644387</v>
      </c>
      <c r="F134" s="16">
        <f t="shared" si="232"/>
        <v>0.20045322737954191</v>
      </c>
      <c r="G134" s="16">
        <f t="shared" ref="G134" si="233">G124/G$126</f>
        <v>0.22822259315937088</v>
      </c>
      <c r="H134" s="16">
        <f t="shared" ref="H134" si="234">H124/H$126</f>
        <v>0.17739541682904966</v>
      </c>
      <c r="I134" s="16">
        <f>IFERROR(I124/I$126,"")</f>
        <v>0.13861153005020257</v>
      </c>
      <c r="J134" s="16"/>
      <c r="N134" s="16">
        <f t="shared" ref="N134:Z134" si="235">N124/N$126</f>
        <v>0.22035319280313193</v>
      </c>
      <c r="O134" s="16">
        <f t="shared" si="235"/>
        <v>0.21392338566136113</v>
      </c>
      <c r="P134" s="16">
        <f t="shared" si="235"/>
        <v>0.19510439596040091</v>
      </c>
      <c r="Q134" s="16">
        <f t="shared" si="235"/>
        <v>0.20045322737954191</v>
      </c>
      <c r="R134" s="16">
        <f t="shared" si="235"/>
        <v>0.21585441184585999</v>
      </c>
      <c r="S134" s="16">
        <f t="shared" si="235"/>
        <v>0.23190301787869344</v>
      </c>
      <c r="T134" s="16">
        <f t="shared" si="235"/>
        <v>0.24692801686477392</v>
      </c>
      <c r="U134" s="16">
        <f t="shared" si="235"/>
        <v>0.22822259315937088</v>
      </c>
      <c r="V134" s="16">
        <f t="shared" si="235"/>
        <v>0.21715248893409808</v>
      </c>
      <c r="W134" s="16">
        <f t="shared" si="235"/>
        <v>0.20081218192553796</v>
      </c>
      <c r="X134" s="16">
        <f t="shared" si="235"/>
        <v>0.18023449748875825</v>
      </c>
      <c r="Y134" s="16">
        <f t="shared" si="235"/>
        <v>0.17739541682904966</v>
      </c>
      <c r="Z134" s="16">
        <f t="shared" si="235"/>
        <v>0.15788582543787419</v>
      </c>
      <c r="AA134" s="16">
        <f t="shared" ref="AA134:AC135" si="236">AA124/AA$126</f>
        <v>0.15298280994778279</v>
      </c>
      <c r="AB134" s="16">
        <f t="shared" si="236"/>
        <v>0.1439987619129221</v>
      </c>
      <c r="AC134" s="16">
        <f t="shared" si="236"/>
        <v>0.13861153005020257</v>
      </c>
    </row>
    <row r="135" spans="1:32" x14ac:dyDescent="0.35">
      <c r="A135" s="1" t="s">
        <v>242</v>
      </c>
      <c r="B135" s="16">
        <f t="shared" ref="B135:F135" si="237">B125/B$126</f>
        <v>0</v>
      </c>
      <c r="C135" s="16">
        <f t="shared" si="237"/>
        <v>0</v>
      </c>
      <c r="D135" s="16">
        <f t="shared" si="237"/>
        <v>0</v>
      </c>
      <c r="E135" s="16">
        <f t="shared" si="237"/>
        <v>0</v>
      </c>
      <c r="F135" s="16">
        <f t="shared" si="237"/>
        <v>0</v>
      </c>
      <c r="G135" s="16">
        <f t="shared" ref="G135" si="238">G125/G$126</f>
        <v>0</v>
      </c>
      <c r="H135" s="16">
        <f t="shared" ref="H135" si="239">H125/H$126</f>
        <v>1.4374272424927855E-2</v>
      </c>
      <c r="I135" s="16">
        <f>IFERROR(I125/I$126,"")</f>
        <v>3.1166870277697399E-2</v>
      </c>
      <c r="J135" s="16"/>
      <c r="N135" s="16">
        <f t="shared" ref="N135:Z135" si="240">N125/N$126</f>
        <v>0</v>
      </c>
      <c r="O135" s="16">
        <f t="shared" si="240"/>
        <v>0</v>
      </c>
      <c r="P135" s="16">
        <f t="shared" si="240"/>
        <v>0</v>
      </c>
      <c r="Q135" s="16">
        <f t="shared" si="240"/>
        <v>0</v>
      </c>
      <c r="R135" s="16">
        <f t="shared" si="240"/>
        <v>0</v>
      </c>
      <c r="S135" s="16">
        <f t="shared" si="240"/>
        <v>0</v>
      </c>
      <c r="T135" s="16">
        <f t="shared" si="240"/>
        <v>0</v>
      </c>
      <c r="U135" s="16">
        <f t="shared" si="240"/>
        <v>0</v>
      </c>
      <c r="V135" s="16">
        <f t="shared" si="240"/>
        <v>1.5834707314179857E-3</v>
      </c>
      <c r="W135" s="16">
        <f t="shared" si="240"/>
        <v>4.6282243069665904E-3</v>
      </c>
      <c r="X135" s="16">
        <f t="shared" si="240"/>
        <v>9.3092210453006134E-3</v>
      </c>
      <c r="Y135" s="16">
        <f t="shared" si="240"/>
        <v>1.4374272424927855E-2</v>
      </c>
      <c r="Z135" s="16">
        <f t="shared" si="240"/>
        <v>1.7319703755913074E-2</v>
      </c>
      <c r="AA135" s="16">
        <f t="shared" si="236"/>
        <v>2.2510135028389066E-2</v>
      </c>
      <c r="AB135" s="16">
        <f t="shared" si="236"/>
        <v>2.6296261779309042E-2</v>
      </c>
      <c r="AC135" s="16">
        <f t="shared" si="236"/>
        <v>3.1166870277697399E-2</v>
      </c>
    </row>
    <row r="137" spans="1:32" s="5" customFormat="1" x14ac:dyDescent="0.35">
      <c r="A137" s="5" t="s">
        <v>139</v>
      </c>
      <c r="B137" s="22" t="str">
        <f t="shared" ref="B137:I137" si="241">B$1</f>
        <v>FY17</v>
      </c>
      <c r="C137" s="22" t="str">
        <f t="shared" si="241"/>
        <v>FY18</v>
      </c>
      <c r="D137" s="22" t="str">
        <f t="shared" si="241"/>
        <v>FY19</v>
      </c>
      <c r="E137" s="22" t="str">
        <f t="shared" si="241"/>
        <v>FY20</v>
      </c>
      <c r="F137" s="22" t="str">
        <f t="shared" si="241"/>
        <v>FY21</v>
      </c>
      <c r="G137" s="22" t="str">
        <f t="shared" si="241"/>
        <v>FY22</v>
      </c>
      <c r="H137" s="22" t="str">
        <f t="shared" si="241"/>
        <v>FY23</v>
      </c>
      <c r="I137" s="22" t="str">
        <f t="shared" si="241"/>
        <v>FY24</v>
      </c>
      <c r="J137" s="22" t="str">
        <f>J$1</f>
        <v>Yoy%</v>
      </c>
      <c r="N137" s="6" t="str">
        <f t="shared" ref="N137:AC137" si="242">N$1</f>
        <v>Q1FY21</v>
      </c>
      <c r="O137" s="6" t="str">
        <f t="shared" si="242"/>
        <v>Q2FY21</v>
      </c>
      <c r="P137" s="80" t="str">
        <f t="shared" si="242"/>
        <v>Q3FY21</v>
      </c>
      <c r="Q137" s="6" t="str">
        <f t="shared" si="242"/>
        <v>Q4FY21</v>
      </c>
      <c r="R137" s="6" t="str">
        <f t="shared" si="242"/>
        <v>Q1FY22</v>
      </c>
      <c r="S137" s="80" t="str">
        <f t="shared" si="242"/>
        <v>Q2FY22</v>
      </c>
      <c r="T137" s="80" t="str">
        <f t="shared" si="242"/>
        <v>Q3FY22</v>
      </c>
      <c r="U137" s="80" t="str">
        <f t="shared" si="242"/>
        <v>Q4FY22</v>
      </c>
      <c r="V137" s="80" t="str">
        <f t="shared" si="242"/>
        <v>Q1FY23</v>
      </c>
      <c r="W137" s="80" t="str">
        <f t="shared" si="242"/>
        <v>Q2FY23</v>
      </c>
      <c r="X137" s="80" t="str">
        <f t="shared" si="242"/>
        <v>Q3FY23</v>
      </c>
      <c r="Y137" s="80" t="str">
        <f t="shared" si="242"/>
        <v>Q4FY23</v>
      </c>
      <c r="Z137" s="80" t="str">
        <f t="shared" si="242"/>
        <v>Q1FY24</v>
      </c>
      <c r="AA137" s="80" t="str">
        <f t="shared" si="242"/>
        <v>Q2FY24</v>
      </c>
      <c r="AB137" s="80" t="str">
        <f t="shared" si="242"/>
        <v>Q3FY24</v>
      </c>
      <c r="AC137" s="80" t="str">
        <f t="shared" si="242"/>
        <v>Q4FY24</v>
      </c>
      <c r="AD137" s="6"/>
      <c r="AE137" s="6"/>
      <c r="AF137" s="6"/>
    </row>
    <row r="138" spans="1:32" x14ac:dyDescent="0.35">
      <c r="A138" s="1" t="s">
        <v>113</v>
      </c>
      <c r="B138" s="11">
        <f t="shared" ref="B138:G138" si="243">SUM(B139:B140)</f>
        <v>0.68520000000000003</v>
      </c>
      <c r="C138" s="11">
        <f t="shared" si="243"/>
        <v>0.43019999999999997</v>
      </c>
      <c r="D138" s="11">
        <f t="shared" si="243"/>
        <v>0.38479999999999998</v>
      </c>
      <c r="E138" s="11">
        <f t="shared" si="243"/>
        <v>0.48970000000000002</v>
      </c>
      <c r="F138" s="11">
        <f t="shared" si="243"/>
        <v>0.56190000000000007</v>
      </c>
      <c r="G138" s="11">
        <f t="shared" si="243"/>
        <v>0.58610000000000007</v>
      </c>
      <c r="H138" s="11">
        <f>SUM(H139:H140)</f>
        <v>0.49380000000000002</v>
      </c>
      <c r="I138" s="11">
        <f>SUM(I139:I140)</f>
        <v>0.39479999999999998</v>
      </c>
      <c r="J138" s="11"/>
      <c r="N138" s="11">
        <f>N139+N140</f>
        <v>0.46929999999999999</v>
      </c>
      <c r="O138" s="11">
        <f>O139+O140</f>
        <v>0.51690000000000003</v>
      </c>
      <c r="P138" s="11">
        <f>P139+P140</f>
        <v>0.52310000000000001</v>
      </c>
      <c r="Q138" s="11">
        <f>F138</f>
        <v>0.56190000000000007</v>
      </c>
      <c r="R138" s="11">
        <f t="shared" ref="R138:W138" si="244">R139+R140</f>
        <v>0.56369999999999998</v>
      </c>
      <c r="S138" s="11">
        <f t="shared" si="244"/>
        <v>0.5636000000000001</v>
      </c>
      <c r="T138" s="11">
        <f t="shared" si="244"/>
        <v>0.58979999999999999</v>
      </c>
      <c r="U138" s="11">
        <f t="shared" si="244"/>
        <v>0.58610000000000007</v>
      </c>
      <c r="V138" s="11">
        <f t="shared" si="244"/>
        <v>0.52310000000000001</v>
      </c>
      <c r="W138" s="11">
        <f t="shared" si="244"/>
        <v>0.50700000000000001</v>
      </c>
      <c r="X138" s="11">
        <f t="shared" ref="X138:AB138" si="245">X139+X140</f>
        <v>0.49630000000000002</v>
      </c>
      <c r="Y138" s="11">
        <f t="shared" si="245"/>
        <v>0.49380000000000002</v>
      </c>
      <c r="Z138" s="11">
        <f t="shared" si="245"/>
        <v>0.45989999999999998</v>
      </c>
      <c r="AA138" s="11">
        <f t="shared" si="245"/>
        <v>0.45489999999999997</v>
      </c>
      <c r="AB138" s="11">
        <f t="shared" si="245"/>
        <v>0.40870000000000001</v>
      </c>
      <c r="AC138" s="11">
        <f>AC139+AC140</f>
        <v>0.39479999999999998</v>
      </c>
    </row>
    <row r="139" spans="1:32" x14ac:dyDescent="0.35">
      <c r="A139" s="1" t="s">
        <v>114</v>
      </c>
      <c r="B139" s="30">
        <v>0.67490000000000006</v>
      </c>
      <c r="C139" s="30">
        <v>0.42249999999999999</v>
      </c>
      <c r="D139" s="30">
        <v>0.37709999999999999</v>
      </c>
      <c r="E139" s="30">
        <v>0.47720000000000001</v>
      </c>
      <c r="F139" s="30">
        <v>0.55230000000000001</v>
      </c>
      <c r="G139" s="38">
        <v>0.58050000000000002</v>
      </c>
      <c r="H139" s="38">
        <f>Y139</f>
        <v>0.4889</v>
      </c>
      <c r="I139" s="38">
        <f>AC139</f>
        <v>0.39079999999999998</v>
      </c>
      <c r="J139" s="30"/>
      <c r="N139" s="30">
        <v>0.45639999999999997</v>
      </c>
      <c r="O139" s="30">
        <v>0.504</v>
      </c>
      <c r="P139" s="30">
        <v>0.51019999999999999</v>
      </c>
      <c r="Q139" s="30">
        <f>F139</f>
        <v>0.55230000000000001</v>
      </c>
      <c r="R139" s="38">
        <v>0.55230000000000001</v>
      </c>
      <c r="S139" s="38">
        <v>0.55200000000000005</v>
      </c>
      <c r="T139" s="38">
        <v>0.57830000000000004</v>
      </c>
      <c r="U139" s="38">
        <f>G139</f>
        <v>0.58050000000000002</v>
      </c>
      <c r="V139" s="38">
        <v>0.51790000000000003</v>
      </c>
      <c r="W139" s="38">
        <v>0.502</v>
      </c>
      <c r="X139" s="38">
        <v>0.4914</v>
      </c>
      <c r="Y139" s="38">
        <v>0.4889</v>
      </c>
      <c r="Z139" s="38">
        <v>0.45519999999999999</v>
      </c>
      <c r="AA139" s="38">
        <v>0.45019999999999999</v>
      </c>
      <c r="AB139" s="38">
        <v>0.40439999999999998</v>
      </c>
      <c r="AC139" s="38">
        <v>0.39079999999999998</v>
      </c>
    </row>
    <row r="140" spans="1:32" x14ac:dyDescent="0.35">
      <c r="A140" s="1" t="s">
        <v>115</v>
      </c>
      <c r="B140" s="30">
        <v>1.03E-2</v>
      </c>
      <c r="C140" s="30">
        <v>7.7000000000000002E-3</v>
      </c>
      <c r="D140" s="30">
        <v>7.7000000000000002E-3</v>
      </c>
      <c r="E140" s="30">
        <v>1.2500000000000001E-2</v>
      </c>
      <c r="F140" s="30">
        <v>9.5999999999999992E-3</v>
      </c>
      <c r="G140" s="38">
        <v>5.5999999999999999E-3</v>
      </c>
      <c r="H140" s="38">
        <f>Y140</f>
        <v>4.8999999999999998E-3</v>
      </c>
      <c r="I140" s="38">
        <f>AC140</f>
        <v>4.0000000000000001E-3</v>
      </c>
      <c r="J140" s="30"/>
      <c r="N140" s="30">
        <v>1.29E-2</v>
      </c>
      <c r="O140" s="30">
        <v>1.29E-2</v>
      </c>
      <c r="P140" s="30">
        <v>1.29E-2</v>
      </c>
      <c r="Q140" s="30">
        <f>F140</f>
        <v>9.5999999999999992E-3</v>
      </c>
      <c r="R140" s="38">
        <v>1.14E-2</v>
      </c>
      <c r="S140" s="38">
        <v>1.1599999999999999E-2</v>
      </c>
      <c r="T140" s="38">
        <v>1.15E-2</v>
      </c>
      <c r="U140" s="38">
        <f>G140</f>
        <v>5.5999999999999999E-3</v>
      </c>
      <c r="V140" s="38">
        <v>5.1999999999999998E-3</v>
      </c>
      <c r="W140" s="38">
        <v>5.0000000000000001E-3</v>
      </c>
      <c r="X140" s="38">
        <v>4.8999999999999998E-3</v>
      </c>
      <c r="Y140" s="38">
        <v>4.8999999999999998E-3</v>
      </c>
      <c r="Z140" s="38">
        <v>4.7000000000000002E-3</v>
      </c>
      <c r="AA140" s="38">
        <v>4.7000000000000002E-3</v>
      </c>
      <c r="AB140" s="38">
        <v>4.3E-3</v>
      </c>
      <c r="AC140" s="38">
        <v>4.0000000000000001E-3</v>
      </c>
    </row>
    <row r="142" spans="1:32" s="5" customFormat="1" x14ac:dyDescent="0.35">
      <c r="A142" s="5" t="s">
        <v>124</v>
      </c>
      <c r="B142" s="22" t="str">
        <f t="shared" ref="B142:I142" si="246">B$1</f>
        <v>FY17</v>
      </c>
      <c r="C142" s="22" t="str">
        <f t="shared" si="246"/>
        <v>FY18</v>
      </c>
      <c r="D142" s="22" t="str">
        <f t="shared" si="246"/>
        <v>FY19</v>
      </c>
      <c r="E142" s="22" t="str">
        <f t="shared" si="246"/>
        <v>FY20</v>
      </c>
      <c r="F142" s="22" t="str">
        <f t="shared" si="246"/>
        <v>FY21</v>
      </c>
      <c r="G142" s="22" t="str">
        <f t="shared" si="246"/>
        <v>FY22</v>
      </c>
      <c r="H142" s="22" t="str">
        <f t="shared" si="246"/>
        <v>FY23</v>
      </c>
      <c r="I142" s="22" t="str">
        <f t="shared" si="246"/>
        <v>FY24</v>
      </c>
      <c r="J142" s="22" t="str">
        <f>J$1</f>
        <v>Yoy%</v>
      </c>
      <c r="N142" s="6" t="str">
        <f t="shared" ref="N142:AE142" si="247">N$1</f>
        <v>Q1FY21</v>
      </c>
      <c r="O142" s="6" t="str">
        <f t="shared" si="247"/>
        <v>Q2FY21</v>
      </c>
      <c r="P142" s="80" t="str">
        <f t="shared" si="247"/>
        <v>Q3FY21</v>
      </c>
      <c r="Q142" s="6" t="str">
        <f t="shared" si="247"/>
        <v>Q4FY21</v>
      </c>
      <c r="R142" s="6" t="str">
        <f t="shared" si="247"/>
        <v>Q1FY22</v>
      </c>
      <c r="S142" s="80" t="str">
        <f t="shared" si="247"/>
        <v>Q2FY22</v>
      </c>
      <c r="T142" s="80" t="str">
        <f t="shared" si="247"/>
        <v>Q3FY22</v>
      </c>
      <c r="U142" s="80" t="str">
        <f t="shared" si="247"/>
        <v>Q4FY22</v>
      </c>
      <c r="V142" s="80" t="str">
        <f t="shared" si="247"/>
        <v>Q1FY23</v>
      </c>
      <c r="W142" s="80" t="str">
        <f t="shared" si="247"/>
        <v>Q2FY23</v>
      </c>
      <c r="X142" s="80" t="str">
        <f t="shared" si="247"/>
        <v>Q3FY23</v>
      </c>
      <c r="Y142" s="80" t="str">
        <f t="shared" si="247"/>
        <v>Q4FY23</v>
      </c>
      <c r="Z142" s="80" t="str">
        <f t="shared" si="247"/>
        <v>Q1FY24</v>
      </c>
      <c r="AA142" s="80" t="str">
        <f t="shared" si="247"/>
        <v>Q2FY24</v>
      </c>
      <c r="AB142" s="80" t="str">
        <f t="shared" si="247"/>
        <v>Q3FY24</v>
      </c>
      <c r="AC142" s="80" t="str">
        <f t="shared" si="247"/>
        <v>Q4FY24</v>
      </c>
      <c r="AD142" s="6" t="str">
        <f t="shared" si="247"/>
        <v>y-o-y</v>
      </c>
      <c r="AE142" s="6" t="str">
        <f t="shared" si="247"/>
        <v>q-o-q</v>
      </c>
      <c r="AF142" s="6"/>
    </row>
    <row r="143" spans="1:32" x14ac:dyDescent="0.35">
      <c r="A143" s="1" t="s">
        <v>146</v>
      </c>
      <c r="B143" s="30">
        <v>0.10199999999999999</v>
      </c>
      <c r="C143" s="30">
        <v>8.7999999999999995E-2</v>
      </c>
      <c r="D143" s="30">
        <v>8.4000000000000005E-2</v>
      </c>
      <c r="E143" s="30">
        <v>8.7999999999999995E-2</v>
      </c>
      <c r="F143" s="30">
        <v>0.08</v>
      </c>
      <c r="G143" s="30">
        <v>7.1499999999999994E-2</v>
      </c>
      <c r="H143" s="30">
        <f>H20</f>
        <v>7.3999999999999996E-2</v>
      </c>
      <c r="I143" s="30">
        <f>I20</f>
        <v>8.2000000000000003E-2</v>
      </c>
      <c r="J143" s="30"/>
      <c r="N143" s="30">
        <f t="shared" ref="N143:T143" si="248">N20</f>
        <v>8.5000000000000006E-2</v>
      </c>
      <c r="O143" s="30">
        <f t="shared" si="248"/>
        <v>8.2699999999999996E-2</v>
      </c>
      <c r="P143" s="30">
        <f t="shared" si="248"/>
        <v>8.0299999999999996E-2</v>
      </c>
      <c r="Q143" s="30">
        <f t="shared" si="248"/>
        <v>7.4200000000000002E-2</v>
      </c>
      <c r="R143" s="30">
        <f t="shared" si="248"/>
        <v>7.17E-2</v>
      </c>
      <c r="S143" s="30">
        <f t="shared" si="248"/>
        <v>7.1300000000000002E-2</v>
      </c>
      <c r="T143" s="30">
        <f t="shared" si="248"/>
        <v>7.1599999999999997E-2</v>
      </c>
      <c r="U143" s="30">
        <v>7.1499999999999994E-2</v>
      </c>
      <c r="V143" s="30">
        <v>6.93E-2</v>
      </c>
      <c r="W143" s="30">
        <f t="shared" ref="W143:AB143" si="249">W20</f>
        <v>7.1326876000869593E-2</v>
      </c>
      <c r="X143" s="30">
        <f t="shared" si="249"/>
        <v>7.3999999999999996E-2</v>
      </c>
      <c r="Y143" s="30">
        <f t="shared" si="249"/>
        <v>7.9000000000000001E-2</v>
      </c>
      <c r="Z143" s="30">
        <f t="shared" si="249"/>
        <v>0.08</v>
      </c>
      <c r="AA143" s="30">
        <f t="shared" si="249"/>
        <v>8.1000000000000003E-2</v>
      </c>
      <c r="AB143" s="30">
        <f t="shared" si="249"/>
        <v>8.2000000000000003E-2</v>
      </c>
      <c r="AC143" s="30">
        <f t="shared" ref="AC143" si="250">AC20</f>
        <v>8.3000000000000004E-2</v>
      </c>
    </row>
    <row r="144" spans="1:32" s="2" customFormat="1" x14ac:dyDescent="0.35">
      <c r="A144" s="2" t="s">
        <v>84</v>
      </c>
      <c r="B144" s="31">
        <v>9.7000000000000003E-2</v>
      </c>
      <c r="C144" s="31">
        <v>7.4999999999999997E-2</v>
      </c>
      <c r="D144" s="31">
        <v>8.6999999999999994E-2</v>
      </c>
      <c r="E144" s="31">
        <v>8.7999999999999995E-2</v>
      </c>
      <c r="F144" s="31">
        <v>6.6000000000000003E-2</v>
      </c>
      <c r="G144" s="31">
        <v>6.8099999999999994E-2</v>
      </c>
      <c r="H144" s="31">
        <v>8.2460000000000006E-2</v>
      </c>
      <c r="I144" s="31">
        <v>8.2299999999999998E-2</v>
      </c>
      <c r="J144" s="31"/>
      <c r="N144" s="31">
        <v>8.09E-2</v>
      </c>
      <c r="O144" s="31">
        <v>7.9000000000000001E-2</v>
      </c>
      <c r="P144" s="31">
        <v>5.8200000000000002E-2</v>
      </c>
      <c r="Q144" s="31">
        <v>5.57E-2</v>
      </c>
      <c r="R144" s="48">
        <v>7.5999999999999998E-2</v>
      </c>
      <c r="S144" s="48">
        <v>7.9299999999999995E-2</v>
      </c>
      <c r="T144" s="48">
        <v>7.6100000000000001E-2</v>
      </c>
      <c r="U144" s="48">
        <v>5.7700000000000001E-2</v>
      </c>
      <c r="V144" s="48">
        <v>7.6600000000000001E-2</v>
      </c>
      <c r="W144" s="48">
        <v>7.9699999999999993E-2</v>
      </c>
      <c r="X144" s="48">
        <v>8.5000000000000006E-2</v>
      </c>
      <c r="Y144" s="48">
        <v>8.7800000000000003E-2</v>
      </c>
      <c r="Z144" s="48">
        <v>7.6399999999999996E-2</v>
      </c>
      <c r="AA144" s="48">
        <v>8.14E-2</v>
      </c>
      <c r="AB144" s="48">
        <v>8.43E-2</v>
      </c>
      <c r="AC144" s="48">
        <v>8.7400000000000005E-2</v>
      </c>
      <c r="AD144" s="70"/>
      <c r="AE144" s="70"/>
      <c r="AF144" s="70"/>
    </row>
    <row r="145" spans="1:33" x14ac:dyDescent="0.35">
      <c r="A145" s="1" t="s">
        <v>124</v>
      </c>
      <c r="B145" s="3">
        <f t="shared" ref="B145:H145" si="251">B117</f>
        <v>6630.4499999999989</v>
      </c>
      <c r="C145" s="3">
        <f t="shared" si="251"/>
        <v>10198.76</v>
      </c>
      <c r="D145" s="3">
        <f t="shared" si="251"/>
        <v>19256.41</v>
      </c>
      <c r="E145" s="3">
        <f t="shared" si="251"/>
        <v>24938.05</v>
      </c>
      <c r="F145" s="3">
        <f t="shared" si="251"/>
        <v>30536.89</v>
      </c>
      <c r="G145" s="3">
        <f t="shared" si="251"/>
        <v>34667.67</v>
      </c>
      <c r="H145" s="3">
        <f t="shared" si="251"/>
        <v>48134.729999999996</v>
      </c>
      <c r="I145" s="3">
        <f t="shared" ref="I145" si="252">I117</f>
        <v>73021.01999999999</v>
      </c>
      <c r="J145" s="30">
        <f>I145/H145-1</f>
        <v>0.51701318362022586</v>
      </c>
      <c r="N145" s="3">
        <f t="shared" ref="N145:AB145" si="253">N117</f>
        <v>26540.76</v>
      </c>
      <c r="O145" s="3">
        <f t="shared" si="253"/>
        <v>26365.78</v>
      </c>
      <c r="P145" s="3">
        <f t="shared" si="253"/>
        <v>28393.51</v>
      </c>
      <c r="Q145" s="3">
        <f t="shared" si="253"/>
        <v>30536.89</v>
      </c>
      <c r="R145" s="3">
        <f t="shared" si="253"/>
        <v>30834.510000000002</v>
      </c>
      <c r="S145" s="3">
        <f t="shared" si="253"/>
        <v>30753.62</v>
      </c>
      <c r="T145" s="3">
        <f t="shared" si="253"/>
        <v>30235.810000000005</v>
      </c>
      <c r="U145" s="3">
        <f t="shared" si="253"/>
        <v>34667.67</v>
      </c>
      <c r="V145" s="3">
        <f t="shared" si="253"/>
        <v>37803.32</v>
      </c>
      <c r="W145" s="3">
        <f t="shared" si="253"/>
        <v>41540.679999999993</v>
      </c>
      <c r="X145" s="3">
        <f t="shared" si="253"/>
        <v>47013.88</v>
      </c>
      <c r="Y145" s="3">
        <f t="shared" si="253"/>
        <v>48134.729999999996</v>
      </c>
      <c r="Z145" s="3">
        <f t="shared" si="253"/>
        <v>56263.66</v>
      </c>
      <c r="AA145" s="3">
        <f t="shared" si="253"/>
        <v>60017.600000000006</v>
      </c>
      <c r="AB145" s="3">
        <f t="shared" si="253"/>
        <v>68462.600000000006</v>
      </c>
      <c r="AC145" s="3">
        <f>AC117</f>
        <v>73021.01999999999</v>
      </c>
      <c r="AD145" s="69">
        <f>IFERROR(AC145/Y145-1,"")</f>
        <v>0.51701318362022586</v>
      </c>
      <c r="AE145" s="69">
        <f>IFERROR(AC145/AB145-1,"")</f>
        <v>6.6582630516515362E-2</v>
      </c>
      <c r="AF145" s="75"/>
    </row>
    <row r="146" spans="1:33" x14ac:dyDescent="0.35">
      <c r="A146" s="1" t="s">
        <v>181</v>
      </c>
      <c r="B146" s="58">
        <v>5458.96</v>
      </c>
      <c r="C146" s="32">
        <f t="shared" ref="C146:I146" si="254">AVERAGE(B145:C145)</f>
        <v>8414.6049999999996</v>
      </c>
      <c r="D146" s="32">
        <f t="shared" si="254"/>
        <v>14727.584999999999</v>
      </c>
      <c r="E146" s="32">
        <f t="shared" si="254"/>
        <v>22097.23</v>
      </c>
      <c r="F146" s="32">
        <f t="shared" si="254"/>
        <v>27737.47</v>
      </c>
      <c r="G146" s="32">
        <f t="shared" si="254"/>
        <v>32602.28</v>
      </c>
      <c r="H146" s="32">
        <f t="shared" si="254"/>
        <v>41401.199999999997</v>
      </c>
      <c r="I146" s="32">
        <f t="shared" si="254"/>
        <v>60577.874999999993</v>
      </c>
      <c r="J146" s="30">
        <f>I146/H146-1</f>
        <v>0.46319128431059964</v>
      </c>
      <c r="N146" s="55">
        <f>AVERAGE(N145,E145)</f>
        <v>25739.404999999999</v>
      </c>
      <c r="O146" s="55">
        <f t="shared" ref="O146:AC146" si="255">AVERAGE(N145:O145)</f>
        <v>26453.269999999997</v>
      </c>
      <c r="P146" s="55">
        <f t="shared" si="255"/>
        <v>27379.644999999997</v>
      </c>
      <c r="Q146" s="55">
        <f t="shared" si="255"/>
        <v>29465.199999999997</v>
      </c>
      <c r="R146" s="55">
        <f t="shared" si="255"/>
        <v>30685.7</v>
      </c>
      <c r="S146" s="55">
        <f t="shared" si="255"/>
        <v>30794.065000000002</v>
      </c>
      <c r="T146" s="55">
        <f t="shared" si="255"/>
        <v>30494.715000000004</v>
      </c>
      <c r="U146" s="55">
        <f t="shared" si="255"/>
        <v>32451.74</v>
      </c>
      <c r="V146" s="55">
        <f t="shared" si="255"/>
        <v>36235.494999999995</v>
      </c>
      <c r="W146" s="55">
        <f t="shared" si="255"/>
        <v>39672</v>
      </c>
      <c r="X146" s="55">
        <f t="shared" si="255"/>
        <v>44277.279999999999</v>
      </c>
      <c r="Y146" s="55">
        <f t="shared" si="255"/>
        <v>47574.304999999993</v>
      </c>
      <c r="Z146" s="55">
        <f t="shared" si="255"/>
        <v>52199.195</v>
      </c>
      <c r="AA146" s="55">
        <f t="shared" si="255"/>
        <v>58140.630000000005</v>
      </c>
      <c r="AB146" s="55">
        <f t="shared" si="255"/>
        <v>64240.100000000006</v>
      </c>
      <c r="AC146" s="55">
        <f t="shared" si="255"/>
        <v>70741.81</v>
      </c>
      <c r="AD146" s="69">
        <f>IFERROR(AC146/Y146-1,"")</f>
        <v>0.48697516442962252</v>
      </c>
      <c r="AE146" s="69">
        <f>IFERROR(AC146/AB146-1,"")</f>
        <v>0.10120952489177304</v>
      </c>
      <c r="AF146" s="75"/>
    </row>
    <row r="147" spans="1:33" x14ac:dyDescent="0.35">
      <c r="A147" s="1" t="s">
        <v>90</v>
      </c>
      <c r="B147" s="19">
        <f t="shared" ref="B147:G147" si="256">B145/B154</f>
        <v>2.1642816574073467</v>
      </c>
      <c r="C147" s="19">
        <f t="shared" si="256"/>
        <v>3.1360054118044984</v>
      </c>
      <c r="D147" s="19">
        <f t="shared" si="256"/>
        <v>3.6843020619483764</v>
      </c>
      <c r="E147" s="19">
        <f t="shared" si="256"/>
        <v>2.671668670039189</v>
      </c>
      <c r="F147" s="19">
        <f t="shared" si="256"/>
        <v>2.2119477625832733</v>
      </c>
      <c r="G147" s="19">
        <f t="shared" si="256"/>
        <v>2.2029612025278245</v>
      </c>
      <c r="H147" s="19">
        <f t="shared" ref="H147:I147" si="257">H145/H154</f>
        <v>2.6486379261106481</v>
      </c>
      <c r="I147" s="19">
        <f t="shared" si="257"/>
        <v>3.4419767285651308</v>
      </c>
      <c r="J147" s="19"/>
      <c r="N147" s="19">
        <f t="shared" ref="N147:U147" si="258">N145/N154</f>
        <v>2.7287453888196613</v>
      </c>
      <c r="O147" s="19">
        <f t="shared" si="258"/>
        <v>2.6686687416179558</v>
      </c>
      <c r="P147" s="19">
        <f t="shared" si="258"/>
        <v>2.6000097064797156</v>
      </c>
      <c r="Q147" s="19">
        <f t="shared" si="258"/>
        <v>2.2119477625832733</v>
      </c>
      <c r="R147" s="19">
        <f t="shared" si="258"/>
        <v>2.1756362964133715</v>
      </c>
      <c r="S147" s="19">
        <f t="shared" si="258"/>
        <v>2.1025413485309241</v>
      </c>
      <c r="T147" s="19">
        <f>T145/T154</f>
        <v>2.0023396979120864</v>
      </c>
      <c r="U147" s="19">
        <f t="shared" si="258"/>
        <v>2.2029612025278245</v>
      </c>
      <c r="V147" s="19">
        <f t="shared" ref="V147:W147" si="259">V145/V154</f>
        <v>2.3221839389012122</v>
      </c>
      <c r="W147" s="19">
        <f t="shared" si="259"/>
        <v>2.4644169293298179</v>
      </c>
      <c r="X147" s="19">
        <f t="shared" ref="X147:Y147" si="260">X145/X154</f>
        <v>2.6890735730668696</v>
      </c>
      <c r="Y147" s="19">
        <f t="shared" si="260"/>
        <v>2.6486379261106481</v>
      </c>
      <c r="Z147" s="19">
        <f t="shared" ref="Z147:AA147" si="261">Z145/Z154</f>
        <v>3.0120183814318415</v>
      </c>
      <c r="AA147" s="19">
        <f t="shared" si="261"/>
        <v>3.0829924201174066</v>
      </c>
      <c r="AB147" s="19">
        <f t="shared" ref="AB147:AC147" si="262">AB145/AB154</f>
        <v>3.3695474563491357</v>
      </c>
      <c r="AC147" s="19">
        <f t="shared" si="262"/>
        <v>3.4419767285651308</v>
      </c>
    </row>
    <row r="148" spans="1:33" x14ac:dyDescent="0.35">
      <c r="A148" s="1" t="s">
        <v>91</v>
      </c>
      <c r="B148" s="11">
        <f t="shared" ref="B148:G148" si="263">B138</f>
        <v>0.68520000000000003</v>
      </c>
      <c r="C148" s="11">
        <f t="shared" si="263"/>
        <v>0.43019999999999997</v>
      </c>
      <c r="D148" s="11">
        <f t="shared" si="263"/>
        <v>0.38479999999999998</v>
      </c>
      <c r="E148" s="11">
        <f t="shared" si="263"/>
        <v>0.48970000000000002</v>
      </c>
      <c r="F148" s="11">
        <f t="shared" si="263"/>
        <v>0.56190000000000007</v>
      </c>
      <c r="G148" s="11">
        <f t="shared" si="263"/>
        <v>0.58610000000000007</v>
      </c>
      <c r="H148" s="11">
        <f t="shared" ref="H148:I148" si="264">H138</f>
        <v>0.49380000000000002</v>
      </c>
      <c r="I148" s="11">
        <f t="shared" si="264"/>
        <v>0.39479999999999998</v>
      </c>
      <c r="J148" s="11"/>
      <c r="N148" s="11">
        <f t="shared" ref="N148:U148" si="265">N138</f>
        <v>0.46929999999999999</v>
      </c>
      <c r="O148" s="11">
        <f t="shared" si="265"/>
        <v>0.51690000000000003</v>
      </c>
      <c r="P148" s="11">
        <f t="shared" si="265"/>
        <v>0.52310000000000001</v>
      </c>
      <c r="Q148" s="11">
        <f t="shared" si="265"/>
        <v>0.56190000000000007</v>
      </c>
      <c r="R148" s="11">
        <f t="shared" si="265"/>
        <v>0.56369999999999998</v>
      </c>
      <c r="S148" s="11">
        <f t="shared" si="265"/>
        <v>0.5636000000000001</v>
      </c>
      <c r="T148" s="11">
        <f>T138</f>
        <v>0.58979999999999999</v>
      </c>
      <c r="U148" s="11">
        <f t="shared" si="265"/>
        <v>0.58610000000000007</v>
      </c>
      <c r="V148" s="11">
        <f t="shared" ref="V148:W148" si="266">V138</f>
        <v>0.52310000000000001</v>
      </c>
      <c r="W148" s="11">
        <f t="shared" si="266"/>
        <v>0.50700000000000001</v>
      </c>
      <c r="X148" s="11">
        <f t="shared" ref="X148:Y148" si="267">X138</f>
        <v>0.49630000000000002</v>
      </c>
      <c r="Y148" s="11">
        <f t="shared" si="267"/>
        <v>0.49380000000000002</v>
      </c>
      <c r="Z148" s="11">
        <f t="shared" ref="Z148:AA148" si="268">Z138</f>
        <v>0.45989999999999998</v>
      </c>
      <c r="AA148" s="11">
        <f t="shared" si="268"/>
        <v>0.45489999999999997</v>
      </c>
      <c r="AB148" s="11">
        <f t="shared" ref="AB148:AC148" si="269">AB138</f>
        <v>0.40870000000000001</v>
      </c>
      <c r="AC148" s="11">
        <f t="shared" si="269"/>
        <v>0.39479999999999998</v>
      </c>
    </row>
    <row r="149" spans="1:33" x14ac:dyDescent="0.35">
      <c r="A149" s="1" t="s">
        <v>92</v>
      </c>
      <c r="B149" s="19">
        <f t="shared" ref="B149:G149" si="270">B146/B155</f>
        <v>2.3723726725349894</v>
      </c>
      <c r="C149" s="19">
        <f t="shared" si="270"/>
        <v>2.6646500087875826</v>
      </c>
      <c r="D149" s="19">
        <f t="shared" si="270"/>
        <v>3.4739950181394454</v>
      </c>
      <c r="E149" s="19">
        <f t="shared" si="270"/>
        <v>3.0351524325126178</v>
      </c>
      <c r="F149" s="19">
        <f t="shared" si="270"/>
        <v>2.3973933963678857</v>
      </c>
      <c r="G149" s="19">
        <f t="shared" si="270"/>
        <v>2.2071607201610708</v>
      </c>
      <c r="H149" s="19">
        <f t="shared" ref="H149:I149" si="271">H146/H155</f>
        <v>2.441811087152435</v>
      </c>
      <c r="I149" s="19">
        <f t="shared" si="271"/>
        <v>3.0759371325045235</v>
      </c>
      <c r="J149" s="19"/>
      <c r="N149" s="19">
        <f t="shared" ref="N149:U149" si="272">N146/N155</f>
        <v>2.700794097988418</v>
      </c>
      <c r="O149" s="19">
        <f t="shared" si="272"/>
        <v>2.6984720579452013</v>
      </c>
      <c r="P149" s="19">
        <f t="shared" si="272"/>
        <v>2.6326214682583746</v>
      </c>
      <c r="Q149" s="19">
        <f t="shared" si="272"/>
        <v>2.3833402693605139</v>
      </c>
      <c r="R149" s="19">
        <f t="shared" si="272"/>
        <v>2.1935537369089433</v>
      </c>
      <c r="S149" s="19">
        <f t="shared" si="272"/>
        <v>2.1385123779840778</v>
      </c>
      <c r="T149" s="19">
        <f>T146/T155</f>
        <v>2.0516427423847321</v>
      </c>
      <c r="U149" s="19">
        <f t="shared" si="272"/>
        <v>2.1047212950378911</v>
      </c>
      <c r="V149" s="19">
        <f t="shared" ref="V149:W149" si="273">V146/V155</f>
        <v>2.2635824020819548</v>
      </c>
      <c r="W149" s="19">
        <f t="shared" si="273"/>
        <v>2.3945387712235253</v>
      </c>
      <c r="X149" s="19">
        <f t="shared" ref="X149:Y149" si="274">X146/X155</f>
        <v>2.5787965983187284</v>
      </c>
      <c r="Y149" s="19">
        <f t="shared" si="274"/>
        <v>2.6684644592641655</v>
      </c>
      <c r="Z149" s="19">
        <f t="shared" ref="Z149:AA149" si="275">Z146/Z155</f>
        <v>2.8328244210597151</v>
      </c>
      <c r="AA149" s="19">
        <f t="shared" si="275"/>
        <v>3.0482380808576495</v>
      </c>
      <c r="AB149" s="19">
        <f t="shared" ref="AB149:AC149" si="276">AB146/AB155</f>
        <v>3.2293336041197058</v>
      </c>
      <c r="AC149" s="19">
        <f t="shared" si="276"/>
        <v>3.4065440666421227</v>
      </c>
    </row>
    <row r="151" spans="1:33" s="5" customFormat="1" x14ac:dyDescent="0.35">
      <c r="A151" s="5" t="s">
        <v>130</v>
      </c>
      <c r="B151" s="22" t="str">
        <f t="shared" ref="B151:I151" si="277">B$1</f>
        <v>FY17</v>
      </c>
      <c r="C151" s="22" t="str">
        <f t="shared" si="277"/>
        <v>FY18</v>
      </c>
      <c r="D151" s="22" t="str">
        <f t="shared" si="277"/>
        <v>FY19</v>
      </c>
      <c r="E151" s="22" t="str">
        <f t="shared" si="277"/>
        <v>FY20</v>
      </c>
      <c r="F151" s="22" t="str">
        <f t="shared" si="277"/>
        <v>FY21</v>
      </c>
      <c r="G151" s="22" t="str">
        <f t="shared" si="277"/>
        <v>FY22</v>
      </c>
      <c r="H151" s="22" t="str">
        <f t="shared" si="277"/>
        <v>FY23</v>
      </c>
      <c r="I151" s="22" t="str">
        <f t="shared" si="277"/>
        <v>FY24</v>
      </c>
      <c r="J151" s="22"/>
      <c r="N151" s="6" t="str">
        <f t="shared" ref="N151:AE151" si="278">N$1</f>
        <v>Q1FY21</v>
      </c>
      <c r="O151" s="6" t="str">
        <f t="shared" si="278"/>
        <v>Q2FY21</v>
      </c>
      <c r="P151" s="80" t="str">
        <f t="shared" si="278"/>
        <v>Q3FY21</v>
      </c>
      <c r="Q151" s="6" t="str">
        <f t="shared" si="278"/>
        <v>Q4FY21</v>
      </c>
      <c r="R151" s="6" t="str">
        <f t="shared" si="278"/>
        <v>Q1FY22</v>
      </c>
      <c r="S151" s="80" t="str">
        <f t="shared" si="278"/>
        <v>Q2FY22</v>
      </c>
      <c r="T151" s="80" t="str">
        <f t="shared" si="278"/>
        <v>Q3FY22</v>
      </c>
      <c r="U151" s="80" t="str">
        <f t="shared" si="278"/>
        <v>Q4FY22</v>
      </c>
      <c r="V151" s="80" t="str">
        <f t="shared" si="278"/>
        <v>Q1FY23</v>
      </c>
      <c r="W151" s="80" t="str">
        <f t="shared" si="278"/>
        <v>Q2FY23</v>
      </c>
      <c r="X151" s="80" t="str">
        <f t="shared" si="278"/>
        <v>Q3FY23</v>
      </c>
      <c r="Y151" s="80" t="str">
        <f t="shared" si="278"/>
        <v>Q4FY23</v>
      </c>
      <c r="Z151" s="80" t="str">
        <f t="shared" si="278"/>
        <v>Q1FY24</v>
      </c>
      <c r="AA151" s="80" t="str">
        <f t="shared" si="278"/>
        <v>Q2FY24</v>
      </c>
      <c r="AB151" s="80" t="str">
        <f t="shared" si="278"/>
        <v>Q3FY24</v>
      </c>
      <c r="AC151" s="80" t="str">
        <f t="shared" si="278"/>
        <v>Q4FY24</v>
      </c>
      <c r="AD151" s="6" t="str">
        <f t="shared" si="278"/>
        <v>y-o-y</v>
      </c>
      <c r="AE151" s="6" t="str">
        <f t="shared" si="278"/>
        <v>q-o-q</v>
      </c>
      <c r="AF151" s="6"/>
    </row>
    <row r="152" spans="1:33" x14ac:dyDescent="0.35">
      <c r="A152" s="1" t="s">
        <v>34</v>
      </c>
      <c r="B152" s="3">
        <f t="shared" ref="B152:H152" si="279">B101</f>
        <v>9889.58</v>
      </c>
      <c r="C152" s="3">
        <f t="shared" si="279"/>
        <v>13649.42</v>
      </c>
      <c r="D152" s="3">
        <f t="shared" si="279"/>
        <v>24815.260000000002</v>
      </c>
      <c r="E152" s="3">
        <f t="shared" si="279"/>
        <v>34802.089999999989</v>
      </c>
      <c r="F152" s="3">
        <f t="shared" si="279"/>
        <v>45101.549999999988</v>
      </c>
      <c r="G152" s="3">
        <f t="shared" si="279"/>
        <v>51178.15</v>
      </c>
      <c r="H152" s="3">
        <f t="shared" si="279"/>
        <v>67389.610000000015</v>
      </c>
      <c r="I152" s="3">
        <f t="shared" ref="I152" si="280">I101</f>
        <v>95339.560000000012</v>
      </c>
      <c r="N152" s="46">
        <v>36987.93</v>
      </c>
      <c r="O152" s="46">
        <v>37223.770000000004</v>
      </c>
      <c r="P152" s="46">
        <v>40084.19</v>
      </c>
      <c r="Q152" s="46">
        <v>45101.549999999988</v>
      </c>
      <c r="R152" s="46">
        <v>45780.28</v>
      </c>
      <c r="S152" s="46">
        <v>46324.609999999993</v>
      </c>
      <c r="T152" s="46">
        <f t="shared" ref="T152:AB152" si="281">T112</f>
        <v>46310.049999999988</v>
      </c>
      <c r="U152" s="46">
        <f t="shared" si="281"/>
        <v>51178.15</v>
      </c>
      <c r="V152" s="46">
        <f t="shared" si="281"/>
        <v>54952.56</v>
      </c>
      <c r="W152" s="46">
        <f t="shared" si="281"/>
        <v>59563.200000000012</v>
      </c>
      <c r="X152" s="46">
        <f t="shared" si="281"/>
        <v>65496.420000000013</v>
      </c>
      <c r="Y152" s="46">
        <f t="shared" si="281"/>
        <v>67389.61</v>
      </c>
      <c r="Z152" s="46">
        <f t="shared" si="281"/>
        <v>76077.579999999987</v>
      </c>
      <c r="AA152" s="46">
        <f t="shared" si="281"/>
        <v>80434.3</v>
      </c>
      <c r="AB152" s="46">
        <f t="shared" si="281"/>
        <v>90041.47</v>
      </c>
      <c r="AC152" s="46">
        <f t="shared" ref="AC152" si="282">AC112</f>
        <v>95339.56</v>
      </c>
      <c r="AD152" s="69">
        <f>IFERROR(AC152/Y152-1,"")</f>
        <v>0.41475162120688935</v>
      </c>
      <c r="AE152" s="69">
        <f>IFERROR(AC152/AB152-1,"")</f>
        <v>5.884055424683754E-2</v>
      </c>
      <c r="AF152" s="75"/>
    </row>
    <row r="153" spans="1:33" x14ac:dyDescent="0.35">
      <c r="A153" s="8" t="s">
        <v>85</v>
      </c>
      <c r="B153" s="33">
        <v>7908.2550000000001</v>
      </c>
      <c r="C153" s="32">
        <f t="shared" ref="C153:I153" si="283">AVERAGE(B152:C152)</f>
        <v>11769.5</v>
      </c>
      <c r="D153" s="32">
        <f t="shared" si="283"/>
        <v>19232.34</v>
      </c>
      <c r="E153" s="32">
        <f t="shared" si="283"/>
        <v>29808.674999999996</v>
      </c>
      <c r="F153" s="32">
        <f t="shared" si="283"/>
        <v>39951.819999999992</v>
      </c>
      <c r="G153" s="32">
        <f t="shared" si="283"/>
        <v>48139.849999999991</v>
      </c>
      <c r="H153" s="32">
        <f t="shared" si="283"/>
        <v>59283.880000000005</v>
      </c>
      <c r="I153" s="32">
        <f t="shared" si="283"/>
        <v>81364.585000000021</v>
      </c>
      <c r="J153" s="32"/>
      <c r="N153" s="55">
        <f>AVERAGE(N152,E152)</f>
        <v>35895.009999999995</v>
      </c>
      <c r="O153" s="55">
        <f t="shared" ref="O153:AC153" si="284">AVERAGE(N152:O152)</f>
        <v>37105.850000000006</v>
      </c>
      <c r="P153" s="55">
        <f t="shared" si="284"/>
        <v>38653.980000000003</v>
      </c>
      <c r="Q153" s="55">
        <f t="shared" si="284"/>
        <v>42592.869999999995</v>
      </c>
      <c r="R153" s="55">
        <f t="shared" si="284"/>
        <v>45440.914999999994</v>
      </c>
      <c r="S153" s="55">
        <f t="shared" si="284"/>
        <v>46052.444999999992</v>
      </c>
      <c r="T153" s="55">
        <f t="shared" si="284"/>
        <v>46317.329999999987</v>
      </c>
      <c r="U153" s="55">
        <f t="shared" si="284"/>
        <v>48744.099999999991</v>
      </c>
      <c r="V153" s="55">
        <f t="shared" si="284"/>
        <v>53065.354999999996</v>
      </c>
      <c r="W153" s="55">
        <f t="shared" si="284"/>
        <v>57257.880000000005</v>
      </c>
      <c r="X153" s="55">
        <f t="shared" si="284"/>
        <v>62529.810000000012</v>
      </c>
      <c r="Y153" s="55">
        <f t="shared" si="284"/>
        <v>66443.015000000014</v>
      </c>
      <c r="Z153" s="55">
        <f t="shared" si="284"/>
        <v>71733.595000000001</v>
      </c>
      <c r="AA153" s="55">
        <f t="shared" si="284"/>
        <v>78255.94</v>
      </c>
      <c r="AB153" s="55">
        <f t="shared" si="284"/>
        <v>85237.885000000009</v>
      </c>
      <c r="AC153" s="55">
        <f t="shared" si="284"/>
        <v>92690.514999999999</v>
      </c>
      <c r="AD153" s="69">
        <f>IFERROR(AC153/Y153-1,"")</f>
        <v>0.39503776281073311</v>
      </c>
      <c r="AE153" s="69">
        <f>IFERROR(AC153/AB153-1,"")</f>
        <v>8.7433305038012055E-2</v>
      </c>
      <c r="AF153" s="75"/>
    </row>
    <row r="154" spans="1:33" x14ac:dyDescent="0.35">
      <c r="A154" s="1" t="s">
        <v>86</v>
      </c>
      <c r="B154" s="3">
        <f t="shared" ref="B154:H154" si="285">B111</f>
        <v>3063.58</v>
      </c>
      <c r="C154" s="3">
        <f t="shared" si="285"/>
        <v>3252.15</v>
      </c>
      <c r="D154" s="3">
        <f t="shared" si="285"/>
        <v>5226.6099999999988</v>
      </c>
      <c r="E154" s="3">
        <f t="shared" si="285"/>
        <v>9334.26</v>
      </c>
      <c r="F154" s="3">
        <f t="shared" si="285"/>
        <v>13805.43</v>
      </c>
      <c r="G154" s="3">
        <f t="shared" si="285"/>
        <v>15736.85</v>
      </c>
      <c r="H154" s="3">
        <f t="shared" si="285"/>
        <v>18173.390000000003</v>
      </c>
      <c r="I154" s="3">
        <f t="shared" ref="I154" si="286">I111</f>
        <v>21214.850000000006</v>
      </c>
      <c r="N154" s="46">
        <v>9726.3599999999988</v>
      </c>
      <c r="O154" s="46">
        <v>9879.75</v>
      </c>
      <c r="P154" s="46">
        <v>10920.54</v>
      </c>
      <c r="Q154" s="46">
        <v>13805.43</v>
      </c>
      <c r="R154" s="46">
        <v>14172.64</v>
      </c>
      <c r="S154" s="46">
        <v>14626.879999999997</v>
      </c>
      <c r="T154" s="46">
        <v>15100.24</v>
      </c>
      <c r="U154" s="46">
        <f>G154</f>
        <v>15736.85</v>
      </c>
      <c r="V154" s="46">
        <f t="shared" ref="V154:AB154" si="287">V111</f>
        <v>16279.21</v>
      </c>
      <c r="W154" s="46">
        <f t="shared" si="287"/>
        <v>16856.190000000002</v>
      </c>
      <c r="X154" s="46">
        <f t="shared" si="287"/>
        <v>17483.3</v>
      </c>
      <c r="Y154" s="46">
        <f t="shared" si="287"/>
        <v>18173.390000000003</v>
      </c>
      <c r="Z154" s="46">
        <f t="shared" si="287"/>
        <v>18679.72</v>
      </c>
      <c r="AA154" s="46">
        <f t="shared" si="287"/>
        <v>19467.320000000003</v>
      </c>
      <c r="AB154" s="46">
        <f t="shared" si="287"/>
        <v>20318.040000000005</v>
      </c>
      <c r="AC154" s="46">
        <f t="shared" ref="AC154" si="288">AC111</f>
        <v>21214.850000000006</v>
      </c>
      <c r="AD154" s="69">
        <f>IFERROR(AC154/Y154-1,"")</f>
        <v>0.16735787874469232</v>
      </c>
      <c r="AE154" s="69">
        <f>IFERROR(AC154/AB154-1,"")</f>
        <v>4.4138607857844514E-2</v>
      </c>
      <c r="AF154" s="75"/>
    </row>
    <row r="155" spans="1:33" x14ac:dyDescent="0.35">
      <c r="A155" s="8" t="s">
        <v>87</v>
      </c>
      <c r="B155" s="33">
        <v>2301.0549999999998</v>
      </c>
      <c r="C155" s="32">
        <f t="shared" ref="C155:I155" si="289">AVERAGE(B154:C154)</f>
        <v>3157.8649999999998</v>
      </c>
      <c r="D155" s="32">
        <f t="shared" si="289"/>
        <v>4239.3799999999992</v>
      </c>
      <c r="E155" s="32">
        <f t="shared" si="289"/>
        <v>7280.4349999999995</v>
      </c>
      <c r="F155" s="32">
        <f t="shared" si="289"/>
        <v>11569.845000000001</v>
      </c>
      <c r="G155" s="32">
        <f t="shared" si="289"/>
        <v>14771.14</v>
      </c>
      <c r="H155" s="32">
        <f t="shared" si="289"/>
        <v>16955.120000000003</v>
      </c>
      <c r="I155" s="32">
        <f t="shared" si="289"/>
        <v>19694.120000000003</v>
      </c>
      <c r="J155" s="32"/>
      <c r="N155" s="55">
        <f>AVERAGE(N154,E154)</f>
        <v>9530.31</v>
      </c>
      <c r="O155" s="55">
        <f t="shared" ref="O155:AC155" si="290">AVERAGE(N154:O154)</f>
        <v>9803.0550000000003</v>
      </c>
      <c r="P155" s="55">
        <f t="shared" si="290"/>
        <v>10400.145</v>
      </c>
      <c r="Q155" s="55">
        <f t="shared" si="290"/>
        <v>12362.985000000001</v>
      </c>
      <c r="R155" s="55">
        <f t="shared" si="290"/>
        <v>13989.035</v>
      </c>
      <c r="S155" s="55">
        <f t="shared" si="290"/>
        <v>14399.759999999998</v>
      </c>
      <c r="T155" s="55">
        <f t="shared" si="290"/>
        <v>14863.559999999998</v>
      </c>
      <c r="U155" s="55">
        <f t="shared" si="290"/>
        <v>15418.545</v>
      </c>
      <c r="V155" s="55">
        <f t="shared" si="290"/>
        <v>16008.029999999999</v>
      </c>
      <c r="W155" s="55">
        <f t="shared" si="290"/>
        <v>16567.7</v>
      </c>
      <c r="X155" s="55">
        <f t="shared" si="290"/>
        <v>17169.745000000003</v>
      </c>
      <c r="Y155" s="55">
        <f t="shared" si="290"/>
        <v>17828.345000000001</v>
      </c>
      <c r="Z155" s="55">
        <f t="shared" si="290"/>
        <v>18426.555</v>
      </c>
      <c r="AA155" s="55">
        <f t="shared" si="290"/>
        <v>19073.520000000004</v>
      </c>
      <c r="AB155" s="55">
        <f t="shared" si="290"/>
        <v>19892.680000000004</v>
      </c>
      <c r="AC155" s="55">
        <f t="shared" si="290"/>
        <v>20766.445000000007</v>
      </c>
      <c r="AD155" s="69">
        <f>IFERROR(AC155/Y155-1,"")</f>
        <v>0.164799368645828</v>
      </c>
      <c r="AE155" s="69">
        <f>IFERROR(AC155/AB155-1,"")</f>
        <v>4.392394589366555E-2</v>
      </c>
      <c r="AF155" s="75"/>
    </row>
    <row r="156" spans="1:33" x14ac:dyDescent="0.35">
      <c r="A156" s="1" t="s">
        <v>131</v>
      </c>
      <c r="B156" s="11">
        <f t="shared" ref="B156:H159" si="291">B55/B$153</f>
        <v>0.10770770542932669</v>
      </c>
      <c r="C156" s="11">
        <f t="shared" si="291"/>
        <v>0.10828582352691281</v>
      </c>
      <c r="D156" s="11">
        <f t="shared" si="291"/>
        <v>0.119026077949953</v>
      </c>
      <c r="E156" s="11">
        <f t="shared" si="291"/>
        <v>0.11489876688581428</v>
      </c>
      <c r="F156" s="11">
        <f t="shared" si="291"/>
        <v>0.10165519368078853</v>
      </c>
      <c r="G156" s="11">
        <f t="shared" si="291"/>
        <v>9.9095447950087096E-2</v>
      </c>
      <c r="H156" s="11">
        <f t="shared" si="291"/>
        <v>0.11512353779813329</v>
      </c>
      <c r="I156" s="11">
        <f t="shared" ref="I156" si="292">I55/I$153</f>
        <v>0.11916904633631446</v>
      </c>
      <c r="J156" s="11"/>
      <c r="N156" s="11">
        <f t="shared" ref="N156:AB156" si="293">N55/N$153*4</f>
        <v>0.11327034036207263</v>
      </c>
      <c r="O156" s="11">
        <f t="shared" si="293"/>
        <v>0.1053731419708752</v>
      </c>
      <c r="P156" s="11">
        <f t="shared" si="293"/>
        <v>0.10576711634869164</v>
      </c>
      <c r="Q156" s="11">
        <f t="shared" si="293"/>
        <v>9.8164786735432483E-2</v>
      </c>
      <c r="R156" s="11">
        <f t="shared" si="293"/>
        <v>9.6060565681831023E-2</v>
      </c>
      <c r="S156" s="11">
        <f t="shared" si="293"/>
        <v>0.10026655479421345</v>
      </c>
      <c r="T156" s="11">
        <f t="shared" si="293"/>
        <v>0.10488514774059735</v>
      </c>
      <c r="U156" s="11">
        <f t="shared" si="293"/>
        <v>0.10752398751848943</v>
      </c>
      <c r="V156" s="11">
        <f t="shared" si="293"/>
        <v>0.10929089233455615</v>
      </c>
      <c r="W156" s="11">
        <f t="shared" si="293"/>
        <v>0.11437307843042738</v>
      </c>
      <c r="X156" s="11">
        <f t="shared" si="293"/>
        <v>0.11518666057037433</v>
      </c>
      <c r="Y156" s="11">
        <f t="shared" si="293"/>
        <v>0.11662565282445413</v>
      </c>
      <c r="Z156" s="11">
        <f t="shared" si="293"/>
        <v>0.12078970808586967</v>
      </c>
      <c r="AA156" s="11">
        <f t="shared" si="293"/>
        <v>0.12000418115225513</v>
      </c>
      <c r="AB156" s="11">
        <f t="shared" si="293"/>
        <v>0.11773825687955526</v>
      </c>
      <c r="AC156" s="11">
        <f t="shared" ref="AC156" si="294">AC55/AC$153*4</f>
        <v>0.11536326019981655</v>
      </c>
      <c r="AG156" s="112"/>
    </row>
    <row r="157" spans="1:33" x14ac:dyDescent="0.35">
      <c r="A157" t="s">
        <v>149</v>
      </c>
      <c r="B157" s="11">
        <f t="shared" si="291"/>
        <v>3.2775877864332907E-3</v>
      </c>
      <c r="C157" s="11">
        <f t="shared" si="291"/>
        <v>0</v>
      </c>
      <c r="D157" s="11">
        <f t="shared" si="291"/>
        <v>1.116660791146579E-2</v>
      </c>
      <c r="E157" s="11">
        <f t="shared" si="291"/>
        <v>1.2453421696871803E-2</v>
      </c>
      <c r="F157" s="11">
        <f t="shared" si="291"/>
        <v>1.0996995881539316E-2</v>
      </c>
      <c r="G157" s="11">
        <f t="shared" si="291"/>
        <v>1.4091028534571674E-2</v>
      </c>
      <c r="H157" s="11">
        <f t="shared" si="291"/>
        <v>6.4160780299804933E-3</v>
      </c>
      <c r="I157" s="11">
        <f t="shared" ref="I157" si="295">I56/I$153</f>
        <v>7.7562000715667616E-3</v>
      </c>
      <c r="J157" s="11"/>
      <c r="N157" s="11">
        <f t="shared" ref="N157:AB157" si="296">N56/N$153*4</f>
        <v>2.870928298947403E-2</v>
      </c>
      <c r="O157" s="11">
        <f t="shared" si="296"/>
        <v>0</v>
      </c>
      <c r="P157" s="11">
        <f t="shared" si="296"/>
        <v>0</v>
      </c>
      <c r="Q157" s="11">
        <f t="shared" si="296"/>
        <v>1.7065767110786386E-2</v>
      </c>
      <c r="R157" s="11">
        <f t="shared" si="296"/>
        <v>1.7046311677482731E-2</v>
      </c>
      <c r="S157" s="11">
        <f t="shared" si="296"/>
        <v>1.4830048654311406E-2</v>
      </c>
      <c r="T157" s="11">
        <f t="shared" si="296"/>
        <v>1.5179631468394232E-2</v>
      </c>
      <c r="U157" s="11">
        <f t="shared" si="296"/>
        <v>1.1339218490032646E-2</v>
      </c>
      <c r="V157" s="11">
        <f t="shared" si="296"/>
        <v>7.4624960108153433E-3</v>
      </c>
      <c r="W157" s="11">
        <f t="shared" si="296"/>
        <v>6.5178801590278926E-3</v>
      </c>
      <c r="X157" s="11">
        <f t="shared" si="296"/>
        <v>4.8642399521124369E-3</v>
      </c>
      <c r="Y157" s="11">
        <f t="shared" si="296"/>
        <v>6.7444260318409695E-3</v>
      </c>
      <c r="Z157" s="11">
        <f t="shared" si="296"/>
        <v>7.0098257308866228E-3</v>
      </c>
      <c r="AA157" s="11">
        <f t="shared" si="296"/>
        <v>7.7387096749460824E-3</v>
      </c>
      <c r="AB157" s="11">
        <f t="shared" si="296"/>
        <v>9.6792640971793218E-3</v>
      </c>
      <c r="AC157" s="11">
        <f t="shared" ref="AC157" si="297">AC56/AC$153*4</f>
        <v>6.3743307500233456E-3</v>
      </c>
      <c r="AG157" s="112"/>
    </row>
    <row r="158" spans="1:33" x14ac:dyDescent="0.35">
      <c r="A158" s="1" t="s">
        <v>154</v>
      </c>
      <c r="B158" s="11">
        <f t="shared" si="291"/>
        <v>4.8139570613238954E-3</v>
      </c>
      <c r="C158" s="11">
        <f t="shared" si="291"/>
        <v>5.7691490717532599E-3</v>
      </c>
      <c r="D158" s="11">
        <f t="shared" si="291"/>
        <v>1.0728283713786259E-2</v>
      </c>
      <c r="E158" s="11">
        <f t="shared" si="291"/>
        <v>1.3437363452082324E-2</v>
      </c>
      <c r="F158" s="11">
        <f t="shared" si="291"/>
        <v>9.7855366789297727E-3</v>
      </c>
      <c r="G158" s="11">
        <f t="shared" si="291"/>
        <v>1.0557365675215025E-2</v>
      </c>
      <c r="H158" s="11">
        <f t="shared" si="291"/>
        <v>1.2661789343072691E-2</v>
      </c>
      <c r="I158" s="11">
        <f t="shared" ref="I158" si="298">I57/I$153</f>
        <v>1.5218291840362729E-2</v>
      </c>
      <c r="J158" s="11"/>
      <c r="N158" s="11">
        <f t="shared" ref="N158:AB158" si="299">N57/N$153*4</f>
        <v>7.591027276493305E-3</v>
      </c>
      <c r="O158" s="11">
        <f t="shared" si="299"/>
        <v>1.1918336327021209E-2</v>
      </c>
      <c r="P158" s="11">
        <f t="shared" si="299"/>
        <v>8.3603292597553974E-3</v>
      </c>
      <c r="Q158" s="11">
        <f t="shared" si="299"/>
        <v>1.2347606536023518E-2</v>
      </c>
      <c r="R158" s="11">
        <f t="shared" si="299"/>
        <v>1.170751073124298E-2</v>
      </c>
      <c r="S158" s="11">
        <f t="shared" si="299"/>
        <v>1.1818699311187496E-2</v>
      </c>
      <c r="T158" s="11">
        <f t="shared" si="299"/>
        <v>1.0947954037937855E-2</v>
      </c>
      <c r="U158" s="11">
        <f t="shared" si="299"/>
        <v>9.2228597922620389E-3</v>
      </c>
      <c r="V158" s="11">
        <f t="shared" si="299"/>
        <v>1.0896751750742081E-2</v>
      </c>
      <c r="W158" s="11">
        <f t="shared" si="299"/>
        <v>1.1428295983015787E-2</v>
      </c>
      <c r="X158" s="11">
        <f t="shared" si="299"/>
        <v>1.1433266789072279E-2</v>
      </c>
      <c r="Y158" s="11">
        <f t="shared" si="299"/>
        <v>1.58788700362258E-2</v>
      </c>
      <c r="Z158" s="11">
        <f t="shared" si="299"/>
        <v>1.7073729540531182E-2</v>
      </c>
      <c r="AA158" s="11">
        <f t="shared" si="299"/>
        <v>1.4345236923868014E-2</v>
      </c>
      <c r="AB158" s="11">
        <f t="shared" si="299"/>
        <v>1.3838916814981979E-2</v>
      </c>
      <c r="AC158" s="11">
        <f t="shared" ref="AC158" si="300">AC57/AC$153*4</f>
        <v>1.5384098362167909E-2</v>
      </c>
      <c r="AG158" s="112"/>
    </row>
    <row r="159" spans="1:33" x14ac:dyDescent="0.35">
      <c r="A159" s="2" t="s">
        <v>150</v>
      </c>
      <c r="B159" s="11">
        <f t="shared" si="291"/>
        <v>0.11579925027708388</v>
      </c>
      <c r="C159" s="11">
        <f t="shared" si="291"/>
        <v>0.11405497259866608</v>
      </c>
      <c r="D159" s="11">
        <f t="shared" si="291"/>
        <v>0.14092096957520503</v>
      </c>
      <c r="E159" s="11">
        <f t="shared" si="291"/>
        <v>0.14078955203476842</v>
      </c>
      <c r="F159" s="11">
        <f t="shared" si="291"/>
        <v>0.12243772624125761</v>
      </c>
      <c r="G159" s="11">
        <f t="shared" si="291"/>
        <v>0.12374384215987379</v>
      </c>
      <c r="H159" s="11">
        <f t="shared" si="291"/>
        <v>0.13420140517118648</v>
      </c>
      <c r="I159" s="11">
        <f t="shared" ref="I159" si="301">I58/I$153</f>
        <v>0.14214353824824394</v>
      </c>
      <c r="J159" s="11"/>
      <c r="N159" s="11">
        <f t="shared" ref="N159:AB159" si="302">N58/N$153*4</f>
        <v>0.14957065062803998</v>
      </c>
      <c r="O159" s="11">
        <f t="shared" si="302"/>
        <v>0.11729147829789641</v>
      </c>
      <c r="P159" s="11">
        <f t="shared" si="302"/>
        <v>0.11412744560844705</v>
      </c>
      <c r="Q159" s="11">
        <f t="shared" si="302"/>
        <v>0.1275781603822424</v>
      </c>
      <c r="R159" s="11">
        <f t="shared" si="302"/>
        <v>0.12481438809055674</v>
      </c>
      <c r="S159" s="11">
        <f t="shared" si="302"/>
        <v>0.12691530275971236</v>
      </c>
      <c r="T159" s="11">
        <f t="shared" si="302"/>
        <v>0.13101273324692941</v>
      </c>
      <c r="U159" s="11">
        <f t="shared" si="302"/>
        <v>0.12808606580078413</v>
      </c>
      <c r="V159" s="11">
        <f t="shared" si="302"/>
        <v>0.12765014009611356</v>
      </c>
      <c r="W159" s="11">
        <f t="shared" si="302"/>
        <v>0.13231925457247104</v>
      </c>
      <c r="X159" s="11">
        <f t="shared" si="302"/>
        <v>0.13148416731155904</v>
      </c>
      <c r="Y159" s="11">
        <f t="shared" si="302"/>
        <v>0.1392489488925209</v>
      </c>
      <c r="Z159" s="11">
        <f t="shared" si="302"/>
        <v>0.14487326335728748</v>
      </c>
      <c r="AA159" s="11">
        <f t="shared" si="302"/>
        <v>0.14208812775106924</v>
      </c>
      <c r="AB159" s="11">
        <f t="shared" si="302"/>
        <v>0.14125643779171657</v>
      </c>
      <c r="AC159" s="11">
        <f t="shared" ref="AC159" si="303">AC58/AC$153*4</f>
        <v>0.1371216893120078</v>
      </c>
      <c r="AG159" s="112"/>
    </row>
    <row r="160" spans="1:33" x14ac:dyDescent="0.35">
      <c r="A160" s="1" t="s">
        <v>132</v>
      </c>
      <c r="B160" s="11">
        <f t="shared" ref="B160:H160" si="304">B59/B153</f>
        <v>6.7378960339543936E-2</v>
      </c>
      <c r="C160" s="11">
        <f t="shared" si="304"/>
        <v>5.4981944857470579E-2</v>
      </c>
      <c r="D160" s="11">
        <f t="shared" si="304"/>
        <v>6.4933856202625359E-2</v>
      </c>
      <c r="E160" s="11">
        <f t="shared" si="304"/>
        <v>6.4150117373549823E-2</v>
      </c>
      <c r="F160" s="11">
        <f t="shared" si="304"/>
        <v>5.421129750784822E-2</v>
      </c>
      <c r="G160" s="11">
        <f t="shared" si="304"/>
        <v>4.4623113698941737E-2</v>
      </c>
      <c r="H160" s="11">
        <f t="shared" si="304"/>
        <v>5.1153197125424314E-2</v>
      </c>
      <c r="I160" s="11">
        <f t="shared" ref="I160" si="305">I59/I153</f>
        <v>6.1287229572915519E-2</v>
      </c>
      <c r="J160" s="11"/>
      <c r="N160" s="11">
        <f t="shared" ref="N160:AB160" si="306">N59/N$153*4</f>
        <v>5.9957080385268043E-2</v>
      </c>
      <c r="O160" s="11">
        <f t="shared" si="306"/>
        <v>6.0556489071130287E-2</v>
      </c>
      <c r="P160" s="11">
        <f t="shared" si="306"/>
        <v>5.5005978685765337E-2</v>
      </c>
      <c r="Q160" s="11">
        <f t="shared" si="306"/>
        <v>5.0196194809131206E-2</v>
      </c>
      <c r="R160" s="11">
        <f t="shared" si="306"/>
        <v>4.638286883087632E-2</v>
      </c>
      <c r="S160" s="11">
        <f t="shared" si="306"/>
        <v>4.6971664588058258E-2</v>
      </c>
      <c r="T160" s="11">
        <f t="shared" si="306"/>
        <v>4.7026890366953372E-2</v>
      </c>
      <c r="U160" s="11">
        <f t="shared" si="306"/>
        <v>4.3976604348013419E-2</v>
      </c>
      <c r="V160" s="11">
        <f t="shared" si="306"/>
        <v>4.5577005939185747E-2</v>
      </c>
      <c r="W160" s="11">
        <f t="shared" si="306"/>
        <v>4.9531697645808746E-2</v>
      </c>
      <c r="X160" s="11">
        <f t="shared" si="306"/>
        <v>5.0726525476408754E-2</v>
      </c>
      <c r="Y160" s="11">
        <f t="shared" si="306"/>
        <v>5.5742202547551481E-2</v>
      </c>
      <c r="Z160" s="11">
        <f t="shared" si="306"/>
        <v>5.9382497140983946E-2</v>
      </c>
      <c r="AA160" s="11">
        <f t="shared" si="306"/>
        <v>5.966831399635604E-2</v>
      </c>
      <c r="AB160" s="11">
        <f t="shared" si="306"/>
        <v>6.0957401746887567E-2</v>
      </c>
      <c r="AC160" s="11">
        <f t="shared" ref="AC160" si="307">AC59/AC$153*4</f>
        <v>6.2805131679330925E-2</v>
      </c>
      <c r="AG160" s="112"/>
    </row>
    <row r="161" spans="1:33" x14ac:dyDescent="0.35">
      <c r="A161" s="2" t="s">
        <v>133</v>
      </c>
      <c r="B161" s="12">
        <f t="shared" ref="B161:G161" si="308">B156-B160</f>
        <v>4.032874508978275E-2</v>
      </c>
      <c r="C161" s="12">
        <f t="shared" si="308"/>
        <v>5.330387866944223E-2</v>
      </c>
      <c r="D161" s="12">
        <f t="shared" si="308"/>
        <v>5.409222174732764E-2</v>
      </c>
      <c r="E161" s="12">
        <f t="shared" si="308"/>
        <v>5.074864951226446E-2</v>
      </c>
      <c r="F161" s="12">
        <f t="shared" si="308"/>
        <v>4.7443896172940307E-2</v>
      </c>
      <c r="G161" s="12">
        <f t="shared" si="308"/>
        <v>5.4472334251145359E-2</v>
      </c>
      <c r="H161" s="12">
        <f t="shared" ref="H161:I161" si="309">H156-H160</f>
        <v>6.3970340672708986E-2</v>
      </c>
      <c r="I161" s="12">
        <f t="shared" si="309"/>
        <v>5.7881816763398944E-2</v>
      </c>
      <c r="J161" s="12"/>
      <c r="N161" s="12">
        <f t="shared" ref="N161:U161" si="310">N156-N160</f>
        <v>5.331325997680459E-2</v>
      </c>
      <c r="O161" s="12">
        <f t="shared" si="310"/>
        <v>4.4816652899744916E-2</v>
      </c>
      <c r="P161" s="12">
        <f t="shared" si="310"/>
        <v>5.0761137662926302E-2</v>
      </c>
      <c r="Q161" s="12">
        <f t="shared" si="310"/>
        <v>4.7968591926301277E-2</v>
      </c>
      <c r="R161" s="12">
        <f t="shared" si="310"/>
        <v>4.9677696850954703E-2</v>
      </c>
      <c r="S161" s="12">
        <f t="shared" si="310"/>
        <v>5.3294890206155195E-2</v>
      </c>
      <c r="T161" s="12">
        <f>T156-T160</f>
        <v>5.7858257373643973E-2</v>
      </c>
      <c r="U161" s="12">
        <f t="shared" si="310"/>
        <v>6.3547383170476007E-2</v>
      </c>
      <c r="V161" s="12">
        <f t="shared" ref="V161:W161" si="311">V156-V160</f>
        <v>6.37138863953704E-2</v>
      </c>
      <c r="W161" s="12">
        <f t="shared" si="311"/>
        <v>6.4841380784618624E-2</v>
      </c>
      <c r="X161" s="12">
        <f t="shared" ref="X161:Y161" si="312">X156-X160</f>
        <v>6.4460135093965573E-2</v>
      </c>
      <c r="Y161" s="12">
        <f t="shared" si="312"/>
        <v>6.0883450276902645E-2</v>
      </c>
      <c r="Z161" s="12">
        <f t="shared" ref="Z161:AA161" si="313">Z156-Z160</f>
        <v>6.1407210944885722E-2</v>
      </c>
      <c r="AA161" s="12">
        <f t="shared" si="313"/>
        <v>6.0335867155899087E-2</v>
      </c>
      <c r="AB161" s="12">
        <f t="shared" ref="AB161:AC161" si="314">AB156-AB160</f>
        <v>5.6780855132667694E-2</v>
      </c>
      <c r="AC161" s="12">
        <f t="shared" si="314"/>
        <v>5.2558128520485622E-2</v>
      </c>
      <c r="AG161" s="112"/>
    </row>
    <row r="162" spans="1:33" x14ac:dyDescent="0.35">
      <c r="A162" s="2" t="s">
        <v>190</v>
      </c>
      <c r="B162" s="12">
        <f t="shared" ref="B162:G162" si="315">B159-B160</f>
        <v>4.842028993753994E-2</v>
      </c>
      <c r="C162" s="12">
        <f t="shared" si="315"/>
        <v>5.9073027741195501E-2</v>
      </c>
      <c r="D162" s="12">
        <f t="shared" si="315"/>
        <v>7.598711337257967E-2</v>
      </c>
      <c r="E162" s="12">
        <f t="shared" si="315"/>
        <v>7.66394346612186E-2</v>
      </c>
      <c r="F162" s="12">
        <f t="shared" si="315"/>
        <v>6.8226428733409394E-2</v>
      </c>
      <c r="G162" s="12">
        <f t="shared" si="315"/>
        <v>7.9120728460932044E-2</v>
      </c>
      <c r="H162" s="12">
        <f t="shared" ref="H162:I162" si="316">H159-H160</f>
        <v>8.3048208045762156E-2</v>
      </c>
      <c r="I162" s="12">
        <f t="shared" si="316"/>
        <v>8.085630867532842E-2</v>
      </c>
      <c r="J162" s="12"/>
      <c r="N162" s="12">
        <f t="shared" ref="N162:U162" si="317">N159-N160</f>
        <v>8.9613570242771945E-2</v>
      </c>
      <c r="O162" s="12">
        <f t="shared" si="317"/>
        <v>5.6734989226766119E-2</v>
      </c>
      <c r="P162" s="12">
        <f t="shared" si="317"/>
        <v>5.9121466922681713E-2</v>
      </c>
      <c r="Q162" s="12">
        <f t="shared" si="317"/>
        <v>7.7381965573111194E-2</v>
      </c>
      <c r="R162" s="12">
        <f t="shared" si="317"/>
        <v>7.8431519259680421E-2</v>
      </c>
      <c r="S162" s="12">
        <f t="shared" si="317"/>
        <v>7.9943638171654091E-2</v>
      </c>
      <c r="T162" s="12">
        <f>T159-T160</f>
        <v>8.3985842879976041E-2</v>
      </c>
      <c r="U162" s="12">
        <f t="shared" si="317"/>
        <v>8.4109461452770706E-2</v>
      </c>
      <c r="V162" s="12">
        <f t="shared" ref="V162:W162" si="318">V159-V160</f>
        <v>8.207313415692781E-2</v>
      </c>
      <c r="W162" s="12">
        <f t="shared" si="318"/>
        <v>8.2787556926662287E-2</v>
      </c>
      <c r="X162" s="12">
        <f t="shared" ref="X162:Y162" si="319">X159-X160</f>
        <v>8.0757641835150287E-2</v>
      </c>
      <c r="Y162" s="12">
        <f t="shared" si="319"/>
        <v>8.3506746344969421E-2</v>
      </c>
      <c r="Z162" s="12">
        <f t="shared" ref="Z162:AA162" si="320">Z159-Z160</f>
        <v>8.5490766216303526E-2</v>
      </c>
      <c r="AA162" s="12">
        <f t="shared" si="320"/>
        <v>8.2419813754713203E-2</v>
      </c>
      <c r="AB162" s="12">
        <f t="shared" ref="AB162:AC162" si="321">AB159-AB160</f>
        <v>8.0299036044828992E-2</v>
      </c>
      <c r="AC162" s="12">
        <f t="shared" si="321"/>
        <v>7.4316557632676875E-2</v>
      </c>
      <c r="AG162" s="112"/>
    </row>
    <row r="163" spans="1:33" x14ac:dyDescent="0.35">
      <c r="A163" s="1" t="s">
        <v>129</v>
      </c>
      <c r="B163" s="11">
        <f t="shared" ref="B163:H163" si="322">B62/B153</f>
        <v>3.3129938273361192E-2</v>
      </c>
      <c r="C163" s="11">
        <f t="shared" si="322"/>
        <v>3.6010025914439872E-2</v>
      </c>
      <c r="D163" s="11">
        <f t="shared" si="322"/>
        <v>3.8238196704093209E-2</v>
      </c>
      <c r="E163" s="11">
        <f t="shared" si="322"/>
        <v>3.5095488142294157E-2</v>
      </c>
      <c r="F163" s="11">
        <f t="shared" si="322"/>
        <v>2.6627322610083857E-2</v>
      </c>
      <c r="G163" s="11">
        <f t="shared" si="322"/>
        <v>2.6915123333371423E-2</v>
      </c>
      <c r="H163" s="11">
        <f t="shared" si="322"/>
        <v>2.9620024870167069E-2</v>
      </c>
      <c r="I163" s="11">
        <f t="shared" ref="I163" si="323">I62/I153</f>
        <v>2.8574102602502052E-2</v>
      </c>
      <c r="J163" s="11"/>
      <c r="N163" s="11">
        <f t="shared" ref="N163:AB163" si="324">N62/N153*4</f>
        <v>2.5847603887002683E-2</v>
      </c>
      <c r="O163" s="11">
        <f t="shared" si="324"/>
        <v>2.4909279803588914E-2</v>
      </c>
      <c r="P163" s="11">
        <f t="shared" si="324"/>
        <v>2.953382808186893E-2</v>
      </c>
      <c r="Q163" s="11">
        <f t="shared" si="324"/>
        <v>2.9619041872501202E-2</v>
      </c>
      <c r="R163" s="11">
        <f t="shared" si="324"/>
        <v>2.5025904517987814E-2</v>
      </c>
      <c r="S163" s="11">
        <f t="shared" si="324"/>
        <v>2.8146171175059218E-2</v>
      </c>
      <c r="T163" s="11">
        <f t="shared" si="324"/>
        <v>2.7750304259766281E-2</v>
      </c>
      <c r="U163" s="11">
        <f t="shared" si="324"/>
        <v>3.0035224775921607E-2</v>
      </c>
      <c r="V163" s="11">
        <f t="shared" si="324"/>
        <v>2.9374344146006374E-2</v>
      </c>
      <c r="W163" s="11">
        <f t="shared" si="324"/>
        <v>3.0993113960908085E-2</v>
      </c>
      <c r="X163" s="11">
        <f t="shared" si="324"/>
        <v>2.8475378383526189E-2</v>
      </c>
      <c r="Y163" s="11">
        <f t="shared" si="324"/>
        <v>2.8747039850614851E-2</v>
      </c>
      <c r="Z163" s="11">
        <f t="shared" si="324"/>
        <v>3.1002489140548442E-2</v>
      </c>
      <c r="AA163" s="11">
        <f t="shared" si="324"/>
        <v>2.9036517866886522E-2</v>
      </c>
      <c r="AB163" s="11">
        <f t="shared" si="324"/>
        <v>2.8797054267594734E-2</v>
      </c>
      <c r="AC163" s="11">
        <f t="shared" ref="AC163" si="325">AC62/AC153*4</f>
        <v>2.5341104211148251E-2</v>
      </c>
      <c r="AG163" s="112"/>
    </row>
    <row r="164" spans="1:33" s="2" customFormat="1" x14ac:dyDescent="0.35">
      <c r="A164" s="2" t="s">
        <v>210</v>
      </c>
      <c r="B164" s="12">
        <f t="shared" ref="B164:H164" si="326">B67/B153</f>
        <v>1.5290351664178754E-2</v>
      </c>
      <c r="C164" s="12">
        <f t="shared" si="326"/>
        <v>2.3063001826755622E-2</v>
      </c>
      <c r="D164" s="12">
        <f t="shared" si="326"/>
        <v>3.7748916668486468E-2</v>
      </c>
      <c r="E164" s="12">
        <f t="shared" si="326"/>
        <v>4.1543946518924443E-2</v>
      </c>
      <c r="F164" s="12">
        <f t="shared" si="326"/>
        <v>4.1599106123325534E-2</v>
      </c>
      <c r="G164" s="12">
        <f t="shared" si="326"/>
        <v>5.2205605127560631E-2</v>
      </c>
      <c r="H164" s="12">
        <f t="shared" si="326"/>
        <v>5.3428183175595098E-2</v>
      </c>
      <c r="I164" s="12">
        <f t="shared" ref="I164" si="327">I67/I153</f>
        <v>5.2282206072826382E-2</v>
      </c>
      <c r="J164" s="12"/>
      <c r="N164" s="12">
        <f t="shared" ref="N164:AB164" si="328">N67/N153*4</f>
        <v>6.3765966355769241E-2</v>
      </c>
      <c r="O164" s="12">
        <f t="shared" si="328"/>
        <v>3.1825709423177202E-2</v>
      </c>
      <c r="P164" s="12">
        <f t="shared" si="328"/>
        <v>2.958763884081278E-2</v>
      </c>
      <c r="Q164" s="12">
        <f t="shared" si="328"/>
        <v>4.7762923700609985E-2</v>
      </c>
      <c r="R164" s="12">
        <f t="shared" si="328"/>
        <v>5.34056147416926E-2</v>
      </c>
      <c r="S164" s="12">
        <f t="shared" si="328"/>
        <v>5.1797466996594869E-2</v>
      </c>
      <c r="T164" s="12">
        <f t="shared" si="328"/>
        <v>5.6235538620209767E-2</v>
      </c>
      <c r="U164" s="12">
        <f t="shared" si="328"/>
        <v>5.4074236676849109E-2</v>
      </c>
      <c r="V164" s="12">
        <f t="shared" si="328"/>
        <v>5.2698790010921433E-2</v>
      </c>
      <c r="W164" s="12">
        <f t="shared" si="328"/>
        <v>5.1794442965754209E-2</v>
      </c>
      <c r="X164" s="12">
        <f t="shared" si="328"/>
        <v>5.2282263451624074E-2</v>
      </c>
      <c r="Y164" s="12">
        <f t="shared" si="328"/>
        <v>5.4759706494354556E-2</v>
      </c>
      <c r="Z164" s="12">
        <f t="shared" si="328"/>
        <v>5.4488277075755091E-2</v>
      </c>
      <c r="AA164" s="12">
        <f t="shared" si="328"/>
        <v>5.3383295887826664E-2</v>
      </c>
      <c r="AB164" s="12">
        <f t="shared" si="328"/>
        <v>5.1501981777234272E-2</v>
      </c>
      <c r="AC164" s="12">
        <f t="shared" ref="AC164" si="329">AC67/AC153*4</f>
        <v>4.8975453421528606E-2</v>
      </c>
      <c r="AD164" s="70"/>
      <c r="AE164" s="70"/>
      <c r="AF164" s="70"/>
      <c r="AG164" s="112"/>
    </row>
    <row r="165" spans="1:33" x14ac:dyDescent="0.35">
      <c r="A165" s="1" t="s">
        <v>88</v>
      </c>
      <c r="B165" s="11">
        <f t="shared" ref="B165:H165" si="330">B68/B$153</f>
        <v>2.1964390374361979E-3</v>
      </c>
      <c r="C165" s="11">
        <f t="shared" si="330"/>
        <v>2.4419049237435742E-3</v>
      </c>
      <c r="D165" s="11">
        <f t="shared" si="330"/>
        <v>3.8024494159317065E-3</v>
      </c>
      <c r="E165" s="11">
        <f t="shared" si="330"/>
        <v>5.5366432758249071E-3</v>
      </c>
      <c r="F165" s="11">
        <f t="shared" si="330"/>
        <v>8.0479437482447614E-3</v>
      </c>
      <c r="G165" s="11">
        <f t="shared" si="330"/>
        <v>5.1977727392170945E-3</v>
      </c>
      <c r="H165" s="11">
        <f t="shared" si="330"/>
        <v>3.6304978688979192E-3</v>
      </c>
      <c r="I165" s="11">
        <f t="shared" ref="I165" si="331">I68/I$153</f>
        <v>3.1256842273576393E-3</v>
      </c>
      <c r="J165" s="11"/>
      <c r="N165" s="11">
        <f t="shared" ref="N165:AB165" si="332">N68/N$153*4</f>
        <v>4.9711645156248745E-3</v>
      </c>
      <c r="O165" s="11">
        <f t="shared" si="332"/>
        <v>1.288422176018067E-2</v>
      </c>
      <c r="P165" s="11">
        <f t="shared" si="332"/>
        <v>7.6514759928990482E-3</v>
      </c>
      <c r="Q165" s="11">
        <f t="shared" si="332"/>
        <v>7.8379315599066222E-3</v>
      </c>
      <c r="R165" s="11">
        <f t="shared" si="332"/>
        <v>1.148040262833616E-2</v>
      </c>
      <c r="S165" s="11">
        <f t="shared" si="332"/>
        <v>2.8897488504682012E-3</v>
      </c>
      <c r="T165" s="11">
        <f t="shared" si="332"/>
        <v>5.1557376040458304E-3</v>
      </c>
      <c r="U165" s="11">
        <f t="shared" si="332"/>
        <v>2.2017023598753494E-3</v>
      </c>
      <c r="V165" s="11">
        <f t="shared" si="332"/>
        <v>2.72494172516136E-3</v>
      </c>
      <c r="W165" s="11">
        <f t="shared" si="332"/>
        <v>3.4706140010772315E-3</v>
      </c>
      <c r="X165" s="11">
        <f t="shared" si="332"/>
        <v>3.8285739233815032E-3</v>
      </c>
      <c r="Y165" s="11">
        <f t="shared" si="332"/>
        <v>4.1870465992550135E-3</v>
      </c>
      <c r="Z165" s="11">
        <f t="shared" si="332"/>
        <v>4.2858579721258916E-3</v>
      </c>
      <c r="AA165" s="11">
        <f t="shared" si="332"/>
        <v>4.0876130297585068E-3</v>
      </c>
      <c r="AB165" s="11">
        <f t="shared" si="332"/>
        <v>3.2872706778212537E-3</v>
      </c>
      <c r="AC165" s="11">
        <f t="shared" ref="AC165" si="333">AC68/AC$153*4</f>
        <v>1.1841556819486882E-3</v>
      </c>
      <c r="AG165" s="112"/>
    </row>
    <row r="166" spans="1:33" s="2" customFormat="1" x14ac:dyDescent="0.35">
      <c r="A166" s="2" t="s">
        <v>134</v>
      </c>
      <c r="B166" s="12">
        <f t="shared" ref="B166:G166" si="334">B164-B165</f>
        <v>1.3093912626742556E-2</v>
      </c>
      <c r="C166" s="12">
        <f t="shared" si="334"/>
        <v>2.0621096903012049E-2</v>
      </c>
      <c r="D166" s="12">
        <f t="shared" si="334"/>
        <v>3.3946467252554763E-2</v>
      </c>
      <c r="E166" s="12">
        <f t="shared" si="334"/>
        <v>3.6007303243099538E-2</v>
      </c>
      <c r="F166" s="12">
        <f t="shared" si="334"/>
        <v>3.3551162375080774E-2</v>
      </c>
      <c r="G166" s="12">
        <f t="shared" si="334"/>
        <v>4.7007832388343537E-2</v>
      </c>
      <c r="H166" s="12">
        <f t="shared" ref="H166:I166" si="335">H164-H165</f>
        <v>4.9797685306697176E-2</v>
      </c>
      <c r="I166" s="12">
        <f t="shared" si="335"/>
        <v>4.9156521845468745E-2</v>
      </c>
      <c r="J166" s="12"/>
      <c r="N166" s="12">
        <f>N164-N165</f>
        <v>5.8794801840144365E-2</v>
      </c>
      <c r="O166" s="12">
        <f t="shared" ref="O166:U166" si="336">O164-O165</f>
        <v>1.8941487662996533E-2</v>
      </c>
      <c r="P166" s="12">
        <f t="shared" si="336"/>
        <v>2.1936162847913731E-2</v>
      </c>
      <c r="Q166" s="12">
        <f t="shared" si="336"/>
        <v>3.9924992140703365E-2</v>
      </c>
      <c r="R166" s="12">
        <f t="shared" si="336"/>
        <v>4.1925212113356439E-2</v>
      </c>
      <c r="S166" s="12">
        <f t="shared" si="336"/>
        <v>4.8907718146126669E-2</v>
      </c>
      <c r="T166" s="12">
        <f>T164-T165</f>
        <v>5.1079801016163939E-2</v>
      </c>
      <c r="U166" s="12">
        <f t="shared" si="336"/>
        <v>5.1872534316973758E-2</v>
      </c>
      <c r="V166" s="12">
        <f t="shared" ref="V166:W166" si="337">V164-V165</f>
        <v>4.997384828576007E-2</v>
      </c>
      <c r="W166" s="12">
        <f t="shared" si="337"/>
        <v>4.8323828964676976E-2</v>
      </c>
      <c r="X166" s="12">
        <f t="shared" ref="X166:Y166" si="338">X164-X165</f>
        <v>4.8453689528242569E-2</v>
      </c>
      <c r="Y166" s="12">
        <f t="shared" si="338"/>
        <v>5.0572659895099542E-2</v>
      </c>
      <c r="Z166" s="12">
        <f t="shared" ref="Z166:AA166" si="339">Z164-Z165</f>
        <v>5.0202419103629201E-2</v>
      </c>
      <c r="AA166" s="12">
        <f t="shared" si="339"/>
        <v>4.9295682858068159E-2</v>
      </c>
      <c r="AB166" s="12">
        <f t="shared" ref="AB166:AC166" si="340">AB164-AB165</f>
        <v>4.821471109941302E-2</v>
      </c>
      <c r="AC166" s="12">
        <f t="shared" si="340"/>
        <v>4.7791297739579915E-2</v>
      </c>
      <c r="AD166" s="70"/>
      <c r="AE166" s="70"/>
      <c r="AF166" s="70"/>
      <c r="AG166" s="112"/>
    </row>
    <row r="167" spans="1:33" x14ac:dyDescent="0.35">
      <c r="A167" s="1" t="s">
        <v>135</v>
      </c>
      <c r="B167" s="11">
        <f t="shared" ref="B167:H168" si="341">B70/B$153</f>
        <v>4.652100874339535E-3</v>
      </c>
      <c r="C167" s="11">
        <f t="shared" si="341"/>
        <v>7.0300352606312922E-3</v>
      </c>
      <c r="D167" s="11">
        <f t="shared" si="341"/>
        <v>1.017192915682647E-2</v>
      </c>
      <c r="E167" s="11">
        <f t="shared" si="341"/>
        <v>9.3197701675770579E-3</v>
      </c>
      <c r="F167" s="11">
        <f t="shared" si="341"/>
        <v>8.4854707495177952E-3</v>
      </c>
      <c r="G167" s="11">
        <f t="shared" si="341"/>
        <v>1.0845484562166274E-2</v>
      </c>
      <c r="H167" s="11">
        <f t="shared" si="341"/>
        <v>1.1289409532574452E-2</v>
      </c>
      <c r="I167" s="11">
        <f t="shared" ref="I167" si="342">I70/I$153</f>
        <v>1.1582803501056385E-2</v>
      </c>
      <c r="J167" s="11"/>
      <c r="N167" s="11">
        <f t="shared" ref="N167:AB167" si="343">N70/N$153*4</f>
        <v>1.5764865367080272E-2</v>
      </c>
      <c r="O167" s="11">
        <f t="shared" si="343"/>
        <v>3.4894767267155988E-3</v>
      </c>
      <c r="P167" s="11">
        <f t="shared" si="343"/>
        <v>5.4731750779609236E-3</v>
      </c>
      <c r="Q167" s="11">
        <f t="shared" si="343"/>
        <v>1.0544487845031338E-2</v>
      </c>
      <c r="R167" s="11">
        <f t="shared" si="343"/>
        <v>1.1022665366663503E-2</v>
      </c>
      <c r="S167" s="11">
        <f t="shared" si="343"/>
        <v>1.1474743631961343E-2</v>
      </c>
      <c r="T167" s="11">
        <f t="shared" si="343"/>
        <v>1.1408256909454843E-2</v>
      </c>
      <c r="U167" s="11">
        <f t="shared" si="343"/>
        <v>1.2339544683356553E-2</v>
      </c>
      <c r="V167" s="11">
        <f t="shared" si="343"/>
        <v>1.1344501511391002E-2</v>
      </c>
      <c r="W167" s="11">
        <f t="shared" si="343"/>
        <v>1.0408349034229001E-2</v>
      </c>
      <c r="X167" s="11">
        <f t="shared" si="343"/>
        <v>1.0876092538902642E-2</v>
      </c>
      <c r="Y167" s="11">
        <f t="shared" si="343"/>
        <v>1.2026546357054985E-2</v>
      </c>
      <c r="Z167" s="11">
        <f t="shared" si="343"/>
        <v>1.1658693531252685E-2</v>
      </c>
      <c r="AA167" s="11">
        <f t="shared" si="343"/>
        <v>1.1313645967322096E-2</v>
      </c>
      <c r="AB167" s="11">
        <f t="shared" si="343"/>
        <v>1.1225994169142038E-2</v>
      </c>
      <c r="AC167" s="11">
        <f t="shared" ref="AC167" si="344">AC70/AC$153*4</f>
        <v>1.177207829733172E-2</v>
      </c>
      <c r="AG167" s="112"/>
    </row>
    <row r="168" spans="1:33" x14ac:dyDescent="0.35">
      <c r="A168" s="1" t="s">
        <v>201</v>
      </c>
      <c r="B168" s="23">
        <f t="shared" si="341"/>
        <v>0</v>
      </c>
      <c r="C168" s="23">
        <f t="shared" si="341"/>
        <v>0</v>
      </c>
      <c r="D168" s="23">
        <f t="shared" si="341"/>
        <v>0</v>
      </c>
      <c r="E168" s="23">
        <f t="shared" si="341"/>
        <v>0</v>
      </c>
      <c r="F168" s="23">
        <f t="shared" si="341"/>
        <v>0</v>
      </c>
      <c r="G168" s="23">
        <f t="shared" si="341"/>
        <v>-2.4954377714097573E-3</v>
      </c>
      <c r="H168" s="23">
        <f t="shared" si="341"/>
        <v>0</v>
      </c>
      <c r="I168" s="23">
        <f t="shared" ref="I168" si="345">I71/I$153</f>
        <v>0</v>
      </c>
      <c r="J168" s="23"/>
      <c r="N168" s="23">
        <f t="shared" ref="N168:AB168" si="346">N71/N$153*4</f>
        <v>0</v>
      </c>
      <c r="O168" s="23">
        <f t="shared" si="346"/>
        <v>0</v>
      </c>
      <c r="P168" s="23">
        <f t="shared" si="346"/>
        <v>0</v>
      </c>
      <c r="Q168" s="23">
        <f t="shared" si="346"/>
        <v>0</v>
      </c>
      <c r="R168" s="23">
        <f t="shared" si="346"/>
        <v>0</v>
      </c>
      <c r="S168" s="23">
        <f t="shared" si="346"/>
        <v>-1.537377657147194E-3</v>
      </c>
      <c r="T168" s="23">
        <f t="shared" si="346"/>
        <v>0</v>
      </c>
      <c r="U168" s="23">
        <f t="shared" si="346"/>
        <v>-9.858013585233907E-3</v>
      </c>
      <c r="V168" s="23">
        <f t="shared" si="346"/>
        <v>0</v>
      </c>
      <c r="W168" s="23">
        <f t="shared" si="346"/>
        <v>0</v>
      </c>
      <c r="X168" s="23">
        <f t="shared" si="346"/>
        <v>0</v>
      </c>
      <c r="Y168" s="23">
        <f t="shared" si="346"/>
        <v>0</v>
      </c>
      <c r="Z168" s="23">
        <f t="shared" si="346"/>
        <v>0</v>
      </c>
      <c r="AA168" s="23">
        <f t="shared" si="346"/>
        <v>0</v>
      </c>
      <c r="AB168" s="23">
        <f t="shared" si="346"/>
        <v>0</v>
      </c>
      <c r="AC168" s="23">
        <f t="shared" ref="AC168" si="347">AC71/AC$153*4</f>
        <v>0</v>
      </c>
      <c r="AG168" s="112"/>
    </row>
    <row r="169" spans="1:33" x14ac:dyDescent="0.35">
      <c r="A169" s="2" t="s">
        <v>126</v>
      </c>
      <c r="B169" s="54">
        <f t="shared" ref="B169:G169" si="348">B166-B167-B168</f>
        <v>8.4418117524030223E-3</v>
      </c>
      <c r="C169" s="54">
        <f t="shared" si="348"/>
        <v>1.3591061642380758E-2</v>
      </c>
      <c r="D169" s="54">
        <f t="shared" si="348"/>
        <v>2.3774538095728291E-2</v>
      </c>
      <c r="E169" s="54">
        <f t="shared" si="348"/>
        <v>2.668753307552248E-2</v>
      </c>
      <c r="F169" s="54">
        <f t="shared" si="348"/>
        <v>2.5065691625562977E-2</v>
      </c>
      <c r="G169" s="54">
        <f t="shared" si="348"/>
        <v>3.8657785597587022E-2</v>
      </c>
      <c r="H169" s="54">
        <f t="shared" ref="H169:I169" si="349">H166-H167-H168</f>
        <v>3.8508275774122726E-2</v>
      </c>
      <c r="I169" s="54">
        <f t="shared" si="349"/>
        <v>3.7573718344412359E-2</v>
      </c>
      <c r="J169" s="54"/>
      <c r="N169" s="54">
        <f t="shared" ref="N169:U169" si="350">N166-N167-N168</f>
        <v>4.3029936473064093E-2</v>
      </c>
      <c r="O169" s="54">
        <f t="shared" si="350"/>
        <v>1.5452010936280933E-2</v>
      </c>
      <c r="P169" s="54">
        <f t="shared" si="350"/>
        <v>1.6462987769952808E-2</v>
      </c>
      <c r="Q169" s="54">
        <f t="shared" si="350"/>
        <v>2.9380504295672027E-2</v>
      </c>
      <c r="R169" s="54">
        <f t="shared" si="350"/>
        <v>3.0902546746692936E-2</v>
      </c>
      <c r="S169" s="54">
        <f t="shared" si="350"/>
        <v>3.8970352171312526E-2</v>
      </c>
      <c r="T169" s="54">
        <f>T166-T167-T168</f>
        <v>3.9671544106709096E-2</v>
      </c>
      <c r="U169" s="54">
        <f t="shared" si="350"/>
        <v>4.9391003218851114E-2</v>
      </c>
      <c r="V169" s="54">
        <f t="shared" ref="V169" si="351">V166-V167-V168</f>
        <v>3.8629346774369064E-2</v>
      </c>
      <c r="W169" s="54">
        <f t="shared" ref="W169:AB169" si="352">W166-W167-W168</f>
        <v>3.7915479930447978E-2</v>
      </c>
      <c r="X169" s="54">
        <f t="shared" si="352"/>
        <v>3.7577596989339927E-2</v>
      </c>
      <c r="Y169" s="54">
        <f t="shared" si="352"/>
        <v>3.854611353804456E-2</v>
      </c>
      <c r="Z169" s="54">
        <f t="shared" si="352"/>
        <v>3.8543725572376515E-2</v>
      </c>
      <c r="AA169" s="54">
        <f t="shared" si="352"/>
        <v>3.7982036890746064E-2</v>
      </c>
      <c r="AB169" s="54">
        <f t="shared" si="352"/>
        <v>3.6988716930270983E-2</v>
      </c>
      <c r="AC169" s="54">
        <f t="shared" ref="AC169" si="353">AC166-AC167-AC168</f>
        <v>3.6019219442248195E-2</v>
      </c>
      <c r="AD169" s="79"/>
      <c r="AG169" s="112"/>
    </row>
    <row r="170" spans="1:33" x14ac:dyDescent="0.35">
      <c r="A170" s="1" t="s">
        <v>89</v>
      </c>
      <c r="B170" s="19">
        <f t="shared" ref="B170:G170" si="354">B153/B155</f>
        <v>3.4367952960707155</v>
      </c>
      <c r="C170" s="19">
        <f t="shared" si="354"/>
        <v>3.7270434296589627</v>
      </c>
      <c r="D170" s="19">
        <f t="shared" si="354"/>
        <v>4.5365926149578488</v>
      </c>
      <c r="E170" s="19">
        <f t="shared" si="354"/>
        <v>4.0943535654119563</v>
      </c>
      <c r="F170" s="19">
        <f t="shared" si="354"/>
        <v>3.4530989827435015</v>
      </c>
      <c r="G170" s="19">
        <f t="shared" si="354"/>
        <v>3.2590477106032436</v>
      </c>
      <c r="H170" s="19">
        <f t="shared" ref="H170:I170" si="355">H153/H155</f>
        <v>3.496517865989742</v>
      </c>
      <c r="I170" s="19">
        <f t="shared" si="355"/>
        <v>4.1314151127341567</v>
      </c>
      <c r="J170" s="19"/>
      <c r="N170" s="19">
        <f t="shared" ref="N170:U170" si="356">N153/N155</f>
        <v>3.7664052900692631</v>
      </c>
      <c r="O170" s="19">
        <f t="shared" si="356"/>
        <v>3.7851312677527571</v>
      </c>
      <c r="P170" s="19">
        <f t="shared" si="356"/>
        <v>3.7166770270991414</v>
      </c>
      <c r="Q170" s="19">
        <f t="shared" si="356"/>
        <v>3.4451930500603205</v>
      </c>
      <c r="R170" s="19">
        <f t="shared" si="356"/>
        <v>3.2483237764434785</v>
      </c>
      <c r="S170" s="19">
        <f t="shared" si="356"/>
        <v>3.1981397606626776</v>
      </c>
      <c r="T170" s="19">
        <f>T153/T155</f>
        <v>3.1161666518653668</v>
      </c>
      <c r="U170" s="19">
        <f t="shared" si="356"/>
        <v>3.1613942820155851</v>
      </c>
      <c r="V170" s="19">
        <f t="shared" ref="V170:W170" si="357">V153/V155</f>
        <v>3.3149210115173449</v>
      </c>
      <c r="W170" s="19">
        <f t="shared" si="357"/>
        <v>3.4559944953131696</v>
      </c>
      <c r="X170" s="19">
        <f t="shared" ref="X170:Y170" si="358">X153/X155</f>
        <v>3.6418601441081391</v>
      </c>
      <c r="Y170" s="19">
        <f t="shared" si="358"/>
        <v>3.7268190064753632</v>
      </c>
      <c r="Z170" s="19">
        <f t="shared" ref="Z170:AA170" si="359">Z153/Z155</f>
        <v>3.8929466197018381</v>
      </c>
      <c r="AA170" s="19">
        <f t="shared" si="359"/>
        <v>4.1028577839853364</v>
      </c>
      <c r="AB170" s="19">
        <f t="shared" ref="AB170" si="360">AB153/AB155</f>
        <v>4.2848869533919007</v>
      </c>
      <c r="AC170" s="19">
        <f>AC153/AC155</f>
        <v>4.4634753324413481</v>
      </c>
      <c r="AG170" s="124"/>
    </row>
    <row r="171" spans="1:33" s="2" customFormat="1" x14ac:dyDescent="0.35">
      <c r="A171" s="2" t="s">
        <v>127</v>
      </c>
      <c r="B171" s="13">
        <f t="shared" ref="B171:G171" si="361">B169*B170</f>
        <v>2.901277892097319E-2</v>
      </c>
      <c r="C171" s="13">
        <f t="shared" si="361"/>
        <v>5.0654476996325151E-2</v>
      </c>
      <c r="D171" s="13">
        <f t="shared" si="361"/>
        <v>0.107855393949115</v>
      </c>
      <c r="E171" s="13">
        <f t="shared" si="361"/>
        <v>0.10926819619981498</v>
      </c>
      <c r="F171" s="13">
        <f t="shared" si="361"/>
        <v>8.6554314253993819E-2</v>
      </c>
      <c r="G171" s="13">
        <f t="shared" si="361"/>
        <v>0.12598756764880703</v>
      </c>
      <c r="H171" s="13">
        <f t="shared" ref="H171:I171" si="362">H169*H170</f>
        <v>0.13464487423268007</v>
      </c>
      <c r="I171" s="13">
        <f t="shared" si="362"/>
        <v>0.15523262780972183</v>
      </c>
      <c r="J171" s="13"/>
      <c r="N171" s="13">
        <f t="shared" ref="N171:U171" si="363">N169*N170</f>
        <v>0.16206818036349294</v>
      </c>
      <c r="O171" s="13">
        <f t="shared" si="363"/>
        <v>5.8487889744574514E-2</v>
      </c>
      <c r="P171" s="12">
        <f t="shared" si="363"/>
        <v>6.1187608441997728E-2</v>
      </c>
      <c r="Q171" s="13">
        <f t="shared" si="363"/>
        <v>0.10122150920671666</v>
      </c>
      <c r="R171" s="13">
        <f t="shared" si="363"/>
        <v>0.10038147734993873</v>
      </c>
      <c r="S171" s="12">
        <f t="shared" si="363"/>
        <v>0.1246326327661017</v>
      </c>
      <c r="T171" s="12">
        <f>T169*T170</f>
        <v>0.1236231427733329</v>
      </c>
      <c r="U171" s="12">
        <f t="shared" si="363"/>
        <v>0.15614443515908927</v>
      </c>
      <c r="V171" s="12">
        <f t="shared" ref="V171:W171" si="364">V169*V170</f>
        <v>0.12805323328354579</v>
      </c>
      <c r="W171" s="12">
        <f t="shared" si="364"/>
        <v>0.13103568992678516</v>
      </c>
      <c r="X171" s="12">
        <f t="shared" ref="X171" si="365">X169*X170</f>
        <v>0.13685235278683508</v>
      </c>
      <c r="Y171" s="12">
        <f>Y169*Y170</f>
        <v>0.14365438855934179</v>
      </c>
      <c r="Z171" s="12">
        <f>Z169*Z170</f>
        <v>0.15004866617769844</v>
      </c>
      <c r="AA171" s="12">
        <f>AA169*AA170</f>
        <v>0.1558348957088157</v>
      </c>
      <c r="AB171" s="12">
        <f>AB169*AB170</f>
        <v>0.15849247059722424</v>
      </c>
      <c r="AC171" s="12">
        <f>AC169*AC170</f>
        <v>0.16077089747426662</v>
      </c>
      <c r="AD171" s="120"/>
      <c r="AE171" s="70"/>
      <c r="AF171" s="70"/>
      <c r="AG171" s="122"/>
    </row>
    <row r="172" spans="1:33" s="2" customFormat="1" x14ac:dyDescent="0.35">
      <c r="A172" s="2" t="s">
        <v>208</v>
      </c>
      <c r="B172" s="13"/>
      <c r="C172" s="13"/>
      <c r="D172" s="13"/>
      <c r="E172" s="13"/>
      <c r="F172" s="13">
        <f>F76/F153</f>
        <v>2.5065691625562981E-2</v>
      </c>
      <c r="G172" s="13">
        <f>G76/G153</f>
        <v>3.616234782617727E-2</v>
      </c>
      <c r="H172" s="13">
        <f>H76/H153</f>
        <v>3.8508275774122726E-2</v>
      </c>
      <c r="I172" s="13">
        <f>I76/I153</f>
        <v>3.7573718344412359E-2</v>
      </c>
      <c r="J172" s="13"/>
      <c r="N172" s="13"/>
      <c r="O172" s="13"/>
      <c r="P172" s="34"/>
      <c r="Q172" s="13"/>
      <c r="R172" s="13"/>
      <c r="S172" s="13">
        <f>S76/S153*4</f>
        <v>3.7432974514165329E-2</v>
      </c>
      <c r="T172" s="34"/>
      <c r="U172" s="13">
        <f t="shared" ref="U172:AB172" si="366">U76/U153*4</f>
        <v>3.9532989633617205E-2</v>
      </c>
      <c r="V172" s="13">
        <f t="shared" si="366"/>
        <v>3.8629346774369071E-2</v>
      </c>
      <c r="W172" s="13">
        <f t="shared" si="366"/>
        <v>3.7915479930447984E-2</v>
      </c>
      <c r="X172" s="13">
        <f t="shared" si="366"/>
        <v>3.7577596989339927E-2</v>
      </c>
      <c r="Y172" s="13">
        <f t="shared" si="366"/>
        <v>3.8546113538044553E-2</v>
      </c>
      <c r="Z172" s="13">
        <f t="shared" si="366"/>
        <v>3.8543725572376515E-2</v>
      </c>
      <c r="AA172" s="13">
        <f t="shared" si="366"/>
        <v>3.7982036890746057E-2</v>
      </c>
      <c r="AB172" s="13">
        <f t="shared" si="366"/>
        <v>3.6988716930270983E-2</v>
      </c>
      <c r="AC172" s="13">
        <f t="shared" ref="AC172" si="367">AC76/AC153*4</f>
        <v>3.6019219442248195E-2</v>
      </c>
      <c r="AD172" s="70"/>
      <c r="AE172" s="70"/>
      <c r="AF172" s="70"/>
      <c r="AG172" s="1"/>
    </row>
    <row r="173" spans="1:33" s="2" customFormat="1" x14ac:dyDescent="0.35">
      <c r="A173" s="2" t="s">
        <v>209</v>
      </c>
      <c r="B173" s="13"/>
      <c r="C173" s="13"/>
      <c r="D173" s="13"/>
      <c r="E173" s="13"/>
      <c r="F173" s="13">
        <f>F76/F155</f>
        <v>8.6554314253993833E-2</v>
      </c>
      <c r="G173" s="13">
        <f>G76/G155</f>
        <v>0.11785481689294121</v>
      </c>
      <c r="H173" s="13">
        <f>H76/H155</f>
        <v>0.1346448742326801</v>
      </c>
      <c r="I173" s="13">
        <f>I76/I155</f>
        <v>0.15523262780972183</v>
      </c>
      <c r="J173" s="13"/>
      <c r="N173" s="13"/>
      <c r="O173" s="13"/>
      <c r="P173" s="34"/>
      <c r="Q173" s="13"/>
      <c r="R173" s="13"/>
      <c r="S173" s="13">
        <f>S76/S155*4</f>
        <v>0.1197158841536248</v>
      </c>
      <c r="T173" s="34"/>
      <c r="U173" s="13">
        <f t="shared" ref="U173:AB173" si="368">U76/U155*4</f>
        <v>0.12497936737869883</v>
      </c>
      <c r="V173" s="13">
        <f t="shared" si="368"/>
        <v>0.12805323328354581</v>
      </c>
      <c r="W173" s="13">
        <f t="shared" si="368"/>
        <v>0.13103568992678519</v>
      </c>
      <c r="X173" s="13">
        <f t="shared" si="368"/>
        <v>0.13685235278683508</v>
      </c>
      <c r="Y173" s="13">
        <f t="shared" si="368"/>
        <v>0.14365438855934176</v>
      </c>
      <c r="Z173" s="13">
        <f t="shared" si="368"/>
        <v>0.15004866617769844</v>
      </c>
      <c r="AA173" s="13">
        <f t="shared" si="368"/>
        <v>0.15583489570881565</v>
      </c>
      <c r="AB173" s="13">
        <f t="shared" si="368"/>
        <v>0.15849247059722424</v>
      </c>
      <c r="AC173" s="13">
        <f t="shared" ref="AC173" si="369">AC76/AC155*4</f>
        <v>0.16077089747426662</v>
      </c>
      <c r="AD173" s="70"/>
      <c r="AE173" s="70"/>
      <c r="AF173" s="70"/>
      <c r="AG173" s="1"/>
    </row>
    <row r="174" spans="1:33" x14ac:dyDescent="0.35">
      <c r="U174" s="7"/>
      <c r="V174" s="7"/>
      <c r="W174" s="7"/>
      <c r="X174" s="7"/>
      <c r="Y174" s="7"/>
      <c r="Z174" s="7"/>
      <c r="AA174" s="7"/>
      <c r="AB174" s="7"/>
      <c r="AC174" s="7"/>
    </row>
    <row r="175" spans="1:33" s="5" customFormat="1" x14ac:dyDescent="0.35">
      <c r="A175" s="5" t="s">
        <v>140</v>
      </c>
      <c r="B175" s="22" t="str">
        <f t="shared" ref="B175:I175" si="370">B$1</f>
        <v>FY17</v>
      </c>
      <c r="C175" s="22" t="str">
        <f t="shared" si="370"/>
        <v>FY18</v>
      </c>
      <c r="D175" s="22" t="str">
        <f t="shared" si="370"/>
        <v>FY19</v>
      </c>
      <c r="E175" s="22" t="str">
        <f t="shared" si="370"/>
        <v>FY20</v>
      </c>
      <c r="F175" s="22" t="str">
        <f t="shared" si="370"/>
        <v>FY21</v>
      </c>
      <c r="G175" s="22" t="str">
        <f t="shared" si="370"/>
        <v>FY22</v>
      </c>
      <c r="H175" s="22" t="str">
        <f t="shared" si="370"/>
        <v>FY23</v>
      </c>
      <c r="I175" s="22" t="str">
        <f t="shared" si="370"/>
        <v>FY24</v>
      </c>
      <c r="J175" s="22"/>
      <c r="N175" s="6" t="str">
        <f t="shared" ref="N175:AE175" si="371">N$1</f>
        <v>Q1FY21</v>
      </c>
      <c r="O175" s="6" t="str">
        <f t="shared" si="371"/>
        <v>Q2FY21</v>
      </c>
      <c r="P175" s="80" t="str">
        <f t="shared" si="371"/>
        <v>Q3FY21</v>
      </c>
      <c r="Q175" s="6" t="str">
        <f t="shared" si="371"/>
        <v>Q4FY21</v>
      </c>
      <c r="R175" s="6" t="str">
        <f t="shared" si="371"/>
        <v>Q1FY22</v>
      </c>
      <c r="S175" s="80" t="str">
        <f t="shared" si="371"/>
        <v>Q2FY22</v>
      </c>
      <c r="T175" s="80" t="str">
        <f t="shared" si="371"/>
        <v>Q3FY22</v>
      </c>
      <c r="U175" s="80" t="str">
        <f t="shared" si="371"/>
        <v>Q4FY22</v>
      </c>
      <c r="V175" s="80" t="str">
        <f t="shared" si="371"/>
        <v>Q1FY23</v>
      </c>
      <c r="W175" s="80" t="str">
        <f t="shared" si="371"/>
        <v>Q2FY23</v>
      </c>
      <c r="X175" s="80" t="str">
        <f t="shared" si="371"/>
        <v>Q3FY23</v>
      </c>
      <c r="Y175" s="80" t="str">
        <f t="shared" si="371"/>
        <v>Q4FY23</v>
      </c>
      <c r="Z175" s="80" t="str">
        <f t="shared" si="371"/>
        <v>Q1FY24</v>
      </c>
      <c r="AA175" s="80" t="str">
        <f t="shared" si="371"/>
        <v>Q2FY24</v>
      </c>
      <c r="AB175" s="80" t="str">
        <f t="shared" si="371"/>
        <v>Q3FY24</v>
      </c>
      <c r="AC175" s="80" t="str">
        <f t="shared" si="371"/>
        <v>Q4FY24</v>
      </c>
      <c r="AD175" s="6" t="str">
        <f t="shared" si="371"/>
        <v>y-o-y</v>
      </c>
      <c r="AE175" s="6" t="str">
        <f t="shared" si="371"/>
        <v>q-o-q</v>
      </c>
      <c r="AF175" s="6"/>
    </row>
    <row r="176" spans="1:33" s="2" customFormat="1" x14ac:dyDescent="0.35">
      <c r="A176" s="2" t="s">
        <v>97</v>
      </c>
      <c r="B176" s="4" t="str">
        <f t="shared" ref="B176:H176" si="372">B1</f>
        <v>FY17</v>
      </c>
      <c r="C176" s="4" t="str">
        <f t="shared" si="372"/>
        <v>FY18</v>
      </c>
      <c r="D176" s="4" t="str">
        <f t="shared" si="372"/>
        <v>FY19</v>
      </c>
      <c r="E176" s="4" t="str">
        <f t="shared" si="372"/>
        <v>FY20</v>
      </c>
      <c r="F176" s="4" t="str">
        <f t="shared" si="372"/>
        <v>FY21</v>
      </c>
      <c r="G176" s="4" t="str">
        <f t="shared" si="372"/>
        <v>FY22</v>
      </c>
      <c r="H176" s="4" t="str">
        <f t="shared" si="372"/>
        <v>FY23</v>
      </c>
      <c r="I176" s="4" t="str">
        <f t="shared" ref="I176" si="373">I1</f>
        <v>FY24</v>
      </c>
      <c r="J176" s="4"/>
      <c r="N176" s="4"/>
      <c r="O176" s="4"/>
      <c r="P176" s="34"/>
      <c r="Q176" s="4"/>
      <c r="R176" s="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70"/>
      <c r="AE176" s="70"/>
      <c r="AF176" s="70"/>
    </row>
    <row r="177" spans="1:33" x14ac:dyDescent="0.35">
      <c r="A177" s="1" t="s">
        <v>0</v>
      </c>
      <c r="B177" s="26">
        <v>8196.7800000000007</v>
      </c>
      <c r="C177" s="26">
        <v>13022.14</v>
      </c>
      <c r="D177" s="26">
        <v>22486.95</v>
      </c>
      <c r="E177" s="26">
        <v>33230.639999999999</v>
      </c>
      <c r="F177" s="26">
        <v>38258.51</v>
      </c>
      <c r="G177" s="26">
        <v>48843.519999999997</v>
      </c>
      <c r="H177" s="26">
        <f>Y177</f>
        <v>62903.83</v>
      </c>
      <c r="I177" s="26">
        <f>AC177</f>
        <v>82938.05</v>
      </c>
      <c r="J177" s="30"/>
      <c r="N177" s="26">
        <v>33308.239999999998</v>
      </c>
      <c r="O177" s="26">
        <v>34348.949999999997</v>
      </c>
      <c r="P177" s="26">
        <v>36408.730000000003</v>
      </c>
      <c r="Q177" s="26">
        <f>F177</f>
        <v>38258.51</v>
      </c>
      <c r="R177" s="26">
        <v>39674.839999999997</v>
      </c>
      <c r="S177" s="26">
        <v>42497.17</v>
      </c>
      <c r="T177" s="26">
        <v>45699.93</v>
      </c>
      <c r="U177" s="26">
        <f>G177</f>
        <v>48843.519999999997</v>
      </c>
      <c r="V177" s="26">
        <v>52534.68</v>
      </c>
      <c r="W177" s="26">
        <v>55873.08</v>
      </c>
      <c r="X177" s="26">
        <v>59489.46</v>
      </c>
      <c r="Y177" s="26">
        <v>62903.83</v>
      </c>
      <c r="Z177" s="26">
        <v>67648.47</v>
      </c>
      <c r="AA177" s="26">
        <v>72417.19</v>
      </c>
      <c r="AB177" s="26">
        <v>77552.23</v>
      </c>
      <c r="AC177" s="26">
        <v>82938.05</v>
      </c>
      <c r="AD177" s="69">
        <f>IFERROR(AC177/Y177-1,"")</f>
        <v>0.31848966907102483</v>
      </c>
      <c r="AE177" s="69">
        <f>IFERROR(AC177/AB177-1,"")</f>
        <v>6.9447648378389681E-2</v>
      </c>
      <c r="AF177" s="75"/>
      <c r="AG177" s="122"/>
    </row>
    <row r="178" spans="1:33" x14ac:dyDescent="0.35">
      <c r="A178" s="1" t="s">
        <v>98</v>
      </c>
      <c r="B178" s="26">
        <v>42.42</v>
      </c>
      <c r="C178" s="26">
        <v>73.86</v>
      </c>
      <c r="D178" s="26">
        <v>249.86</v>
      </c>
      <c r="E178" s="26">
        <v>347.45</v>
      </c>
      <c r="F178" s="26">
        <v>377.66</v>
      </c>
      <c r="G178" s="26">
        <v>519.86</v>
      </c>
      <c r="H178" s="26">
        <f t="shared" ref="H178:H180" si="374">Y178</f>
        <v>691.85</v>
      </c>
      <c r="I178" s="26">
        <f t="shared" ref="I178:I180" si="375">AC178</f>
        <v>963.19</v>
      </c>
      <c r="J178" s="30"/>
      <c r="N178" s="26">
        <v>350.29</v>
      </c>
      <c r="O178" s="26">
        <v>350.49</v>
      </c>
      <c r="P178" s="26">
        <v>354.66</v>
      </c>
      <c r="Q178" s="26">
        <f>F178</f>
        <v>377.66</v>
      </c>
      <c r="R178" s="26">
        <v>391.63</v>
      </c>
      <c r="S178" s="26">
        <v>423.37</v>
      </c>
      <c r="T178" s="26">
        <v>467.28</v>
      </c>
      <c r="U178" s="26">
        <f>G178</f>
        <v>519.86</v>
      </c>
      <c r="V178" s="26">
        <v>503.85</v>
      </c>
      <c r="W178" s="26">
        <v>543.54</v>
      </c>
      <c r="X178" s="26">
        <v>625.1</v>
      </c>
      <c r="Y178" s="26">
        <v>691.85</v>
      </c>
      <c r="Z178" s="26">
        <v>751.81</v>
      </c>
      <c r="AA178" s="26">
        <v>814.94</v>
      </c>
      <c r="AB178" s="26">
        <v>908.18</v>
      </c>
      <c r="AC178" s="26">
        <v>963.19</v>
      </c>
      <c r="AD178" s="69">
        <f>IFERROR(AC178/Y178-1,"")</f>
        <v>0.39219483992194837</v>
      </c>
      <c r="AE178" s="69">
        <f>IFERROR(AC178/AB178-1,"")</f>
        <v>6.0571692836222102E-2</v>
      </c>
      <c r="AF178" s="75"/>
      <c r="AG178" s="122"/>
    </row>
    <row r="179" spans="1:33" x14ac:dyDescent="0.35">
      <c r="A179" s="1" t="s">
        <v>99</v>
      </c>
      <c r="B179" s="26">
        <v>233.96</v>
      </c>
      <c r="C179" s="26">
        <v>287.39999999999998</v>
      </c>
      <c r="D179" s="26">
        <v>858.27</v>
      </c>
      <c r="E179" s="26">
        <v>1843.31</v>
      </c>
      <c r="F179" s="26">
        <v>2296.96</v>
      </c>
      <c r="G179" s="26">
        <v>4213.53</v>
      </c>
      <c r="H179" s="26">
        <f t="shared" si="374"/>
        <v>8214.4</v>
      </c>
      <c r="I179" s="26">
        <f t="shared" si="375"/>
        <v>13019.33</v>
      </c>
      <c r="J179" s="30"/>
      <c r="N179" s="26">
        <v>1831.14</v>
      </c>
      <c r="O179" s="26">
        <v>1897.96</v>
      </c>
      <c r="P179" s="26">
        <v>2045.06</v>
      </c>
      <c r="Q179" s="26">
        <f>F179</f>
        <v>2296.96</v>
      </c>
      <c r="R179" s="26">
        <v>2467.36</v>
      </c>
      <c r="S179" s="26">
        <v>2935.9</v>
      </c>
      <c r="T179" s="26">
        <v>3511.51</v>
      </c>
      <c r="U179" s="26">
        <f>G179</f>
        <v>4213.53</v>
      </c>
      <c r="V179" s="26">
        <v>5068.82</v>
      </c>
      <c r="W179" s="26">
        <v>6137.08</v>
      </c>
      <c r="X179" s="26">
        <v>7211.57</v>
      </c>
      <c r="Y179" s="26">
        <v>8214.4</v>
      </c>
      <c r="Z179" s="26">
        <v>9200.57</v>
      </c>
      <c r="AA179" s="26">
        <v>10283.83</v>
      </c>
      <c r="AB179" s="26">
        <v>11598.18</v>
      </c>
      <c r="AC179" s="26">
        <v>13019.33</v>
      </c>
      <c r="AD179" s="69">
        <f>IFERROR(AC179/Y179-1,"")</f>
        <v>0.58493986170627199</v>
      </c>
      <c r="AE179" s="69">
        <f>IFERROR(AC179/AB179-1,"")</f>
        <v>0.12253215590721989</v>
      </c>
      <c r="AF179" s="75"/>
      <c r="AG179" s="122"/>
    </row>
    <row r="180" spans="1:33" x14ac:dyDescent="0.35">
      <c r="A180" s="1" t="s">
        <v>6</v>
      </c>
      <c r="B180" s="26">
        <v>0</v>
      </c>
      <c r="C180" s="26">
        <v>175.92</v>
      </c>
      <c r="D180" s="26">
        <v>840.66</v>
      </c>
      <c r="E180" s="26">
        <v>762.2</v>
      </c>
      <c r="F180" s="26">
        <v>477.59</v>
      </c>
      <c r="G180" s="26">
        <v>226.43</v>
      </c>
      <c r="H180" s="26">
        <f t="shared" si="374"/>
        <v>169.6</v>
      </c>
      <c r="I180" s="26">
        <f t="shared" si="375"/>
        <v>57.76</v>
      </c>
      <c r="J180" s="30"/>
      <c r="N180" s="26">
        <v>735.46</v>
      </c>
      <c r="O180" s="26">
        <v>702.72</v>
      </c>
      <c r="P180" s="26">
        <v>598.02</v>
      </c>
      <c r="Q180" s="26">
        <f>F180</f>
        <v>477.59</v>
      </c>
      <c r="R180" s="26">
        <v>408.85</v>
      </c>
      <c r="S180" s="26">
        <v>313.83999999999997</v>
      </c>
      <c r="T180" s="26">
        <v>261.76</v>
      </c>
      <c r="U180" s="26">
        <f>G180</f>
        <v>226.43</v>
      </c>
      <c r="V180" s="26">
        <v>211.48</v>
      </c>
      <c r="W180" s="26">
        <v>200.67</v>
      </c>
      <c r="X180" s="26">
        <v>185.65</v>
      </c>
      <c r="Y180" s="26">
        <v>169.6</v>
      </c>
      <c r="Z180" s="26">
        <v>158.07</v>
      </c>
      <c r="AA180" s="26">
        <v>138.49</v>
      </c>
      <c r="AB180" s="26">
        <v>78.849999999999994</v>
      </c>
      <c r="AC180" s="26">
        <v>57.76</v>
      </c>
      <c r="AD180" s="69">
        <f>IFERROR(AC180/Y180-1,"")</f>
        <v>-0.65943396226415096</v>
      </c>
      <c r="AE180" s="69">
        <f>IFERROR(AC180/AB180-1,"")</f>
        <v>-0.26746987951807222</v>
      </c>
      <c r="AF180" s="75"/>
      <c r="AG180" s="122"/>
    </row>
    <row r="181" spans="1:33" s="2" customFormat="1" x14ac:dyDescent="0.35">
      <c r="A181" s="2" t="s">
        <v>35</v>
      </c>
      <c r="B181" s="4">
        <f t="shared" ref="B181:G181" si="376">SUM(B177:B180)</f>
        <v>8473.16</v>
      </c>
      <c r="C181" s="4">
        <f t="shared" si="376"/>
        <v>13559.32</v>
      </c>
      <c r="D181" s="4">
        <f t="shared" si="376"/>
        <v>24435.74</v>
      </c>
      <c r="E181" s="4">
        <f t="shared" si="376"/>
        <v>36183.599999999991</v>
      </c>
      <c r="F181" s="4">
        <f t="shared" si="376"/>
        <v>41410.720000000001</v>
      </c>
      <c r="G181" s="4">
        <f t="shared" si="376"/>
        <v>53803.34</v>
      </c>
      <c r="H181" s="4">
        <f t="shared" ref="H181:I181" si="377">SUM(H177:H180)</f>
        <v>71979.680000000008</v>
      </c>
      <c r="I181" s="4">
        <f t="shared" si="377"/>
        <v>96978.33</v>
      </c>
      <c r="J181" s="4"/>
      <c r="N181" s="4">
        <f t="shared" ref="N181:U181" si="378">SUM(N177:N180)</f>
        <v>36225.129999999997</v>
      </c>
      <c r="O181" s="4">
        <f t="shared" si="378"/>
        <v>37300.119999999995</v>
      </c>
      <c r="P181" s="4">
        <f t="shared" si="378"/>
        <v>39406.47</v>
      </c>
      <c r="Q181" s="4">
        <f t="shared" si="378"/>
        <v>41410.720000000001</v>
      </c>
      <c r="R181" s="4">
        <f t="shared" si="378"/>
        <v>42942.679999999993</v>
      </c>
      <c r="S181" s="4">
        <f t="shared" si="378"/>
        <v>46170.28</v>
      </c>
      <c r="T181" s="4">
        <f>SUM(T177:T180)</f>
        <v>49940.480000000003</v>
      </c>
      <c r="U181" s="4">
        <f t="shared" si="378"/>
        <v>53803.34</v>
      </c>
      <c r="V181" s="4">
        <f t="shared" ref="V181" si="379">SUM(V177:V180)</f>
        <v>58318.83</v>
      </c>
      <c r="W181" s="4">
        <f t="shared" ref="W181:AB181" si="380">SUM(W177:W180)</f>
        <v>62754.37</v>
      </c>
      <c r="X181" s="4">
        <f t="shared" si="380"/>
        <v>67511.78</v>
      </c>
      <c r="Y181" s="4">
        <f t="shared" si="380"/>
        <v>71979.680000000008</v>
      </c>
      <c r="Z181" s="4">
        <f t="shared" si="380"/>
        <v>77758.920000000013</v>
      </c>
      <c r="AA181" s="4">
        <f t="shared" si="380"/>
        <v>83654.450000000012</v>
      </c>
      <c r="AB181" s="4">
        <f t="shared" si="380"/>
        <v>90137.44</v>
      </c>
      <c r="AC181" s="4">
        <f>SUM(AC177:AC180)</f>
        <v>96978.33</v>
      </c>
      <c r="AD181" s="71">
        <f>IFERROR(AC181/Y181-1,"")</f>
        <v>0.34730148842006514</v>
      </c>
      <c r="AE181" s="71">
        <f>IFERROR(AC181/AB181-1,"")</f>
        <v>7.5893990332984718E-2</v>
      </c>
      <c r="AF181" s="76"/>
    </row>
    <row r="182" spans="1:33" s="2" customFormat="1" x14ac:dyDescent="0.35">
      <c r="A182" s="2" t="s">
        <v>137</v>
      </c>
      <c r="B182" s="12">
        <f t="shared" ref="B182:G182" si="381">B177/B181</f>
        <v>0.96738170883117991</v>
      </c>
      <c r="C182" s="12">
        <f t="shared" si="381"/>
        <v>0.96038296905744536</v>
      </c>
      <c r="D182" s="12">
        <f t="shared" si="381"/>
        <v>0.92024837389823266</v>
      </c>
      <c r="E182" s="12">
        <f t="shared" si="381"/>
        <v>0.91838954664544181</v>
      </c>
      <c r="F182" s="12">
        <f t="shared" si="381"/>
        <v>0.92387937229780115</v>
      </c>
      <c r="G182" s="12">
        <f t="shared" si="381"/>
        <v>0.90781576013682419</v>
      </c>
      <c r="H182" s="12">
        <f t="shared" ref="H182:I182" si="382">H177/H181</f>
        <v>0.87391094264381275</v>
      </c>
      <c r="I182" s="12">
        <f t="shared" si="382"/>
        <v>0.85522250176920966</v>
      </c>
      <c r="J182" s="12"/>
      <c r="N182" s="12">
        <f t="shared" ref="N182:U182" si="383">N177/N181</f>
        <v>0.91947882588689123</v>
      </c>
      <c r="O182" s="12">
        <f t="shared" si="383"/>
        <v>0.92088041539812748</v>
      </c>
      <c r="P182" s="12">
        <f t="shared" si="383"/>
        <v>0.92392772049868976</v>
      </c>
      <c r="Q182" s="12">
        <f t="shared" si="383"/>
        <v>0.92387937229780115</v>
      </c>
      <c r="R182" s="12">
        <f t="shared" si="383"/>
        <v>0.92390228090095916</v>
      </c>
      <c r="S182" s="12">
        <f t="shared" si="383"/>
        <v>0.92044427714105259</v>
      </c>
      <c r="T182" s="12">
        <f>T177/T181</f>
        <v>0.91508792066075451</v>
      </c>
      <c r="U182" s="12">
        <f t="shared" si="383"/>
        <v>0.90781576013682419</v>
      </c>
      <c r="V182" s="12">
        <f t="shared" ref="V182:W182" si="384">V177/V181</f>
        <v>0.90081848349838289</v>
      </c>
      <c r="W182" s="12">
        <f t="shared" si="384"/>
        <v>0.89034564445472086</v>
      </c>
      <c r="X182" s="12">
        <f t="shared" ref="X182:Y182" si="385">X177/X181</f>
        <v>0.88117155257941648</v>
      </c>
      <c r="Y182" s="12">
        <f t="shared" si="385"/>
        <v>0.87391094264381275</v>
      </c>
      <c r="Z182" s="12">
        <f t="shared" ref="Z182" si="386">Z177/Z181</f>
        <v>0.86997697498885007</v>
      </c>
      <c r="AA182" s="12">
        <f>AA177/AA181</f>
        <v>0.86567050527497336</v>
      </c>
      <c r="AB182" s="12">
        <f>AB177/AB181</f>
        <v>0.86037755232453894</v>
      </c>
      <c r="AC182" s="12">
        <f>AC177/AC181</f>
        <v>0.85522250176920966</v>
      </c>
      <c r="AD182" s="70"/>
      <c r="AE182" s="70"/>
      <c r="AF182" s="70"/>
    </row>
    <row r="183" spans="1:33" x14ac:dyDescent="0.35">
      <c r="N183" s="39"/>
      <c r="O183" s="39"/>
      <c r="Q183" s="39"/>
      <c r="R183" s="39"/>
    </row>
    <row r="184" spans="1:33" x14ac:dyDescent="0.35">
      <c r="A184" s="2" t="s">
        <v>100</v>
      </c>
      <c r="N184" s="39"/>
      <c r="O184" s="39"/>
      <c r="Q184" s="39"/>
      <c r="R184" s="39"/>
      <c r="W184" s="26"/>
      <c r="X184" s="26"/>
      <c r="Y184" s="26"/>
      <c r="Z184" s="26"/>
      <c r="AA184" s="26"/>
      <c r="AB184" s="26"/>
      <c r="AC184" s="26"/>
    </row>
    <row r="185" spans="1:33" x14ac:dyDescent="0.35">
      <c r="A185" s="1" t="s">
        <v>101</v>
      </c>
      <c r="B185" s="26">
        <v>3788.1</v>
      </c>
      <c r="C185" s="26">
        <v>5664.8</v>
      </c>
      <c r="D185" s="26">
        <v>9047.18</v>
      </c>
      <c r="E185" s="26">
        <v>12398.98</v>
      </c>
      <c r="F185" s="26">
        <v>12824.92</v>
      </c>
      <c r="G185" s="26">
        <v>13784.92</v>
      </c>
      <c r="H185" s="26">
        <f t="shared" ref="H185:H186" si="387">Y185</f>
        <v>14607.08</v>
      </c>
      <c r="I185" s="26">
        <f t="shared" ref="I185:I186" si="388">AC185</f>
        <v>16247.22</v>
      </c>
      <c r="J185" s="26"/>
      <c r="N185" s="26">
        <v>12298.85</v>
      </c>
      <c r="O185" s="26">
        <v>12252.938</v>
      </c>
      <c r="P185" s="26">
        <v>12680.78</v>
      </c>
      <c r="Q185" s="26">
        <f>F185</f>
        <v>12824.92</v>
      </c>
      <c r="R185" s="26">
        <v>12766.1</v>
      </c>
      <c r="S185" s="26">
        <v>13083.58</v>
      </c>
      <c r="T185" s="26">
        <v>13528.86</v>
      </c>
      <c r="U185" s="26">
        <f>G185</f>
        <v>13784.92</v>
      </c>
      <c r="V185" s="26">
        <v>14207.91</v>
      </c>
      <c r="W185" s="26">
        <v>14423.62</v>
      </c>
      <c r="X185" s="26">
        <v>14620.94</v>
      </c>
      <c r="Y185" s="26">
        <v>14607.08</v>
      </c>
      <c r="Z185" s="26">
        <v>15068.64</v>
      </c>
      <c r="AA185" s="26">
        <v>15367.33</v>
      </c>
      <c r="AB185" s="26">
        <v>15834.97</v>
      </c>
      <c r="AC185" s="26">
        <v>16247.22</v>
      </c>
      <c r="AD185" s="69">
        <f>IFERROR(AC185/Y185-1,"")</f>
        <v>0.11228390616057404</v>
      </c>
      <c r="AE185" s="69">
        <f>IFERROR(AC185/AB185-1,"")</f>
        <v>2.6034150996181227E-2</v>
      </c>
      <c r="AF185" s="75"/>
      <c r="AG185" s="116"/>
    </row>
    <row r="186" spans="1:33" x14ac:dyDescent="0.35">
      <c r="A186" s="1" t="s">
        <v>102</v>
      </c>
      <c r="B186" s="26">
        <v>4685.0600000000004</v>
      </c>
      <c r="C186" s="26">
        <v>7894.52</v>
      </c>
      <c r="D186" s="26">
        <v>15388.56</v>
      </c>
      <c r="E186" s="26">
        <v>23784.62</v>
      </c>
      <c r="F186" s="26">
        <v>28585.8</v>
      </c>
      <c r="G186" s="26">
        <v>40018.44</v>
      </c>
      <c r="H186" s="26">
        <f t="shared" si="387"/>
        <v>57372.6</v>
      </c>
      <c r="I186" s="26">
        <f t="shared" si="388"/>
        <v>80731.11</v>
      </c>
      <c r="J186" s="26"/>
      <c r="N186" s="26">
        <v>23926.28</v>
      </c>
      <c r="O186" s="26">
        <v>25047.178</v>
      </c>
      <c r="P186" s="26">
        <v>26725.69</v>
      </c>
      <c r="Q186" s="26">
        <f>F186</f>
        <v>28585.8</v>
      </c>
      <c r="R186" s="26">
        <v>30176.58</v>
      </c>
      <c r="S186" s="26">
        <v>33086.699999999997</v>
      </c>
      <c r="T186" s="26">
        <v>36411.620000000003</v>
      </c>
      <c r="U186" s="26">
        <f>G186</f>
        <v>40018.44</v>
      </c>
      <c r="V186" s="26">
        <v>44110.92</v>
      </c>
      <c r="W186" s="26">
        <v>48330.75</v>
      </c>
      <c r="X186" s="26">
        <v>52890.84</v>
      </c>
      <c r="Y186" s="26">
        <v>57372.6</v>
      </c>
      <c r="Z186" s="26">
        <v>62690.28</v>
      </c>
      <c r="AA186" s="26">
        <v>68287.12</v>
      </c>
      <c r="AB186" s="26">
        <v>74302.47</v>
      </c>
      <c r="AC186" s="26">
        <v>80731.11</v>
      </c>
      <c r="AD186" s="69">
        <f>IFERROR(AC186/Y186-1,"")</f>
        <v>0.40713703056859907</v>
      </c>
      <c r="AE186" s="69">
        <f>IFERROR(AC186/AB186-1,"")</f>
        <v>8.6519869393305582E-2</v>
      </c>
      <c r="AF186" s="75"/>
      <c r="AG186" s="116"/>
    </row>
    <row r="187" spans="1:33" s="2" customFormat="1" x14ac:dyDescent="0.35">
      <c r="A187" s="2" t="s">
        <v>35</v>
      </c>
      <c r="B187" s="4">
        <f t="shared" ref="B187:G187" si="389">SUM(B185:B186)</f>
        <v>8473.16</v>
      </c>
      <c r="C187" s="4">
        <f t="shared" si="389"/>
        <v>13559.32</v>
      </c>
      <c r="D187" s="4">
        <f t="shared" si="389"/>
        <v>24435.739999999998</v>
      </c>
      <c r="E187" s="4">
        <f t="shared" si="389"/>
        <v>36183.599999999999</v>
      </c>
      <c r="F187" s="4">
        <f t="shared" si="389"/>
        <v>41410.720000000001</v>
      </c>
      <c r="G187" s="4">
        <f t="shared" si="389"/>
        <v>53803.360000000001</v>
      </c>
      <c r="H187" s="4">
        <f t="shared" ref="H187:I187" si="390">SUM(H185:H186)</f>
        <v>71979.679999999993</v>
      </c>
      <c r="I187" s="4">
        <f t="shared" si="390"/>
        <v>96978.33</v>
      </c>
      <c r="J187" s="4"/>
      <c r="N187" s="4">
        <f t="shared" ref="N187:U187" si="391">SUM(N185:N186)</f>
        <v>36225.129999999997</v>
      </c>
      <c r="O187" s="4">
        <f t="shared" si="391"/>
        <v>37300.116000000002</v>
      </c>
      <c r="P187" s="4">
        <f t="shared" si="391"/>
        <v>39406.47</v>
      </c>
      <c r="Q187" s="4">
        <f t="shared" si="391"/>
        <v>41410.720000000001</v>
      </c>
      <c r="R187" s="4">
        <f t="shared" si="391"/>
        <v>42942.68</v>
      </c>
      <c r="S187" s="4">
        <f t="shared" si="391"/>
        <v>46170.28</v>
      </c>
      <c r="T187" s="4">
        <f>SUM(T185:T186)</f>
        <v>49940.480000000003</v>
      </c>
      <c r="U187" s="4">
        <f t="shared" si="391"/>
        <v>53803.360000000001</v>
      </c>
      <c r="V187" s="4">
        <f t="shared" ref="V187" si="392">SUM(V185:V186)</f>
        <v>58318.83</v>
      </c>
      <c r="W187" s="4">
        <f t="shared" ref="W187:AB187" si="393">SUM(W185:W186)</f>
        <v>62754.37</v>
      </c>
      <c r="X187" s="4">
        <f t="shared" si="393"/>
        <v>67511.78</v>
      </c>
      <c r="Y187" s="4">
        <f t="shared" si="393"/>
        <v>71979.679999999993</v>
      </c>
      <c r="Z187" s="4">
        <f t="shared" si="393"/>
        <v>77758.92</v>
      </c>
      <c r="AA187" s="4">
        <f t="shared" si="393"/>
        <v>83654.45</v>
      </c>
      <c r="AB187" s="4">
        <f t="shared" si="393"/>
        <v>90137.44</v>
      </c>
      <c r="AC187" s="4">
        <f>SUM(AC185:AC186)</f>
        <v>96978.33</v>
      </c>
      <c r="AD187" s="71">
        <f>IFERROR(AC187/Y187-1,"")</f>
        <v>0.34730148842006536</v>
      </c>
      <c r="AE187" s="71">
        <f>IFERROR(AC187/AB187-1,"")</f>
        <v>7.5893990332984718E-2</v>
      </c>
      <c r="AF187" s="76"/>
      <c r="AG187" s="114"/>
    </row>
    <row r="188" spans="1:33" s="2" customFormat="1" x14ac:dyDescent="0.35">
      <c r="A188" s="2" t="s">
        <v>138</v>
      </c>
      <c r="B188" s="12">
        <f t="shared" ref="B188:G188" si="394">B185/B187</f>
        <v>0.44707051442437062</v>
      </c>
      <c r="C188" s="12">
        <f t="shared" si="394"/>
        <v>0.41777906266685944</v>
      </c>
      <c r="D188" s="12">
        <f t="shared" si="394"/>
        <v>0.37024374952426248</v>
      </c>
      <c r="E188" s="12">
        <f t="shared" si="394"/>
        <v>0.342668501752175</v>
      </c>
      <c r="F188" s="12">
        <f t="shared" si="394"/>
        <v>0.30970048335310274</v>
      </c>
      <c r="G188" s="12">
        <f t="shared" si="394"/>
        <v>0.25620927763619222</v>
      </c>
      <c r="H188" s="12">
        <f t="shared" ref="H188:I188" si="395">H185/H187</f>
        <v>0.20293338342154343</v>
      </c>
      <c r="I188" s="12">
        <f t="shared" si="395"/>
        <v>0.16753454096394524</v>
      </c>
      <c r="J188" s="12"/>
      <c r="N188" s="12">
        <f t="shared" ref="N188:U188" si="396">N185/N187</f>
        <v>0.33951154902687725</v>
      </c>
      <c r="O188" s="12">
        <f t="shared" si="396"/>
        <v>0.32849597572297096</v>
      </c>
      <c r="P188" s="12">
        <f t="shared" si="396"/>
        <v>0.32179436524002275</v>
      </c>
      <c r="Q188" s="12">
        <f t="shared" si="396"/>
        <v>0.30970048335310274</v>
      </c>
      <c r="R188" s="12">
        <f t="shared" si="396"/>
        <v>0.29728233077208971</v>
      </c>
      <c r="S188" s="12">
        <f t="shared" si="396"/>
        <v>0.28337666568190623</v>
      </c>
      <c r="T188" s="12">
        <f>T185/T187</f>
        <v>0.27089967897785522</v>
      </c>
      <c r="U188" s="12">
        <f t="shared" si="396"/>
        <v>0.25620927763619222</v>
      </c>
      <c r="V188" s="12">
        <f t="shared" ref="V188:W188" si="397">V185/V187</f>
        <v>0.24362474350051261</v>
      </c>
      <c r="W188" s="12">
        <f t="shared" si="397"/>
        <v>0.22984247949585027</v>
      </c>
      <c r="X188" s="12">
        <f t="shared" ref="X188:Y188" si="398">X185/X187</f>
        <v>0.21656872326577675</v>
      </c>
      <c r="Y188" s="12">
        <f t="shared" si="398"/>
        <v>0.20293338342154343</v>
      </c>
      <c r="Z188" s="12">
        <f>Z185/Z187</f>
        <v>0.19378664209842419</v>
      </c>
      <c r="AA188" s="12">
        <f>AA185/AA187</f>
        <v>0.18370009007291305</v>
      </c>
      <c r="AB188" s="12">
        <f>AB185/AB187</f>
        <v>0.17567583459215172</v>
      </c>
      <c r="AC188" s="12">
        <f>AC185/AC187</f>
        <v>0.16753454096394524</v>
      </c>
      <c r="AD188" s="70"/>
      <c r="AE188" s="70"/>
      <c r="AF188" s="70"/>
      <c r="AG188" s="126"/>
    </row>
    <row r="190" spans="1:33" x14ac:dyDescent="0.35">
      <c r="A190" s="1" t="s">
        <v>93</v>
      </c>
      <c r="B190" s="3">
        <f t="shared" ref="B190:H190" si="399">B16</f>
        <v>9747</v>
      </c>
      <c r="C190" s="3">
        <f t="shared" si="399"/>
        <v>15723</v>
      </c>
      <c r="D190" s="3">
        <f t="shared" si="399"/>
        <v>29372</v>
      </c>
      <c r="E190" s="3">
        <f t="shared" si="399"/>
        <v>43094</v>
      </c>
      <c r="F190" s="3">
        <f t="shared" si="399"/>
        <v>50417</v>
      </c>
      <c r="G190" s="3">
        <f t="shared" si="399"/>
        <v>62055</v>
      </c>
      <c r="H190" s="3">
        <f t="shared" si="399"/>
        <v>77927</v>
      </c>
      <c r="I190" s="3">
        <f t="shared" ref="I190" si="400">I16</f>
        <v>95974</v>
      </c>
      <c r="N190" s="3">
        <v>43205</v>
      </c>
      <c r="O190" s="3">
        <v>44796</v>
      </c>
      <c r="P190" s="3">
        <f>P16</f>
        <v>47440</v>
      </c>
      <c r="Q190" s="3">
        <f>F190</f>
        <v>50417</v>
      </c>
      <c r="R190" s="3">
        <f t="shared" ref="R190:AB190" si="401">R16</f>
        <v>52042</v>
      </c>
      <c r="S190" s="3">
        <f t="shared" si="401"/>
        <v>55243</v>
      </c>
      <c r="T190" s="3">
        <f t="shared" si="401"/>
        <v>58615</v>
      </c>
      <c r="U190" s="3">
        <f t="shared" si="401"/>
        <v>62055</v>
      </c>
      <c r="V190" s="3">
        <f t="shared" si="401"/>
        <v>65638</v>
      </c>
      <c r="W190" s="3">
        <f t="shared" si="401"/>
        <v>69395</v>
      </c>
      <c r="X190" s="3">
        <f t="shared" si="401"/>
        <v>73551</v>
      </c>
      <c r="Y190" s="3">
        <f t="shared" si="401"/>
        <v>77927</v>
      </c>
      <c r="Z190" s="3">
        <f t="shared" si="401"/>
        <v>82266</v>
      </c>
      <c r="AA190" s="3">
        <f t="shared" si="401"/>
        <v>86542</v>
      </c>
      <c r="AB190" s="3">
        <f t="shared" si="401"/>
        <v>91305</v>
      </c>
      <c r="AC190" s="3">
        <f t="shared" ref="AC190" si="402">AC16</f>
        <v>95974</v>
      </c>
      <c r="AD190" s="69">
        <f>IFERROR(AC190/Y190-1,"")</f>
        <v>0.23158853799068368</v>
      </c>
      <c r="AE190" s="69">
        <f>IFERROR(AC190/AB190-1,"")</f>
        <v>5.113630140737091E-2</v>
      </c>
      <c r="AF190" s="75"/>
    </row>
    <row r="191" spans="1:33" x14ac:dyDescent="0.35">
      <c r="A191" s="1" t="s">
        <v>94</v>
      </c>
      <c r="B191" s="30">
        <v>0.68500000000000005</v>
      </c>
      <c r="C191" s="30">
        <v>0.72699999999999998</v>
      </c>
      <c r="D191" s="30">
        <v>0.745</v>
      </c>
      <c r="E191" s="30">
        <v>0.74363000000000001</v>
      </c>
      <c r="F191" s="30">
        <v>0.75</v>
      </c>
      <c r="G191" s="30">
        <v>0.74870000000000003</v>
      </c>
      <c r="H191" s="30">
        <f>Y191</f>
        <v>0.72309999999999997</v>
      </c>
      <c r="I191" s="30">
        <f>AC191</f>
        <v>0.70820000000000005</v>
      </c>
      <c r="J191" s="30"/>
      <c r="N191" s="30">
        <v>0.74390000000000001</v>
      </c>
      <c r="O191" s="30">
        <v>0.74568999999999996</v>
      </c>
      <c r="P191" s="30">
        <v>0.74819999999999998</v>
      </c>
      <c r="Q191" s="30">
        <f>F191</f>
        <v>0.75</v>
      </c>
      <c r="R191" s="30">
        <v>0.73709999999999998</v>
      </c>
      <c r="S191" s="30">
        <v>0.74748999999999999</v>
      </c>
      <c r="T191" s="30">
        <v>0.74380000000000002</v>
      </c>
      <c r="U191" s="30">
        <f>G191</f>
        <v>0.74870000000000003</v>
      </c>
      <c r="V191" s="30">
        <v>0.74429999999999996</v>
      </c>
      <c r="W191" s="30">
        <v>0.73180000000000001</v>
      </c>
      <c r="X191" s="30">
        <v>0.72640000000000005</v>
      </c>
      <c r="Y191" s="30">
        <v>0.72309999999999997</v>
      </c>
      <c r="Z191" s="30">
        <v>0.71940000000000004</v>
      </c>
      <c r="AA191" s="30">
        <v>0.71589999999999998</v>
      </c>
      <c r="AB191" s="30">
        <v>0.71150000000000002</v>
      </c>
      <c r="AC191" s="30">
        <v>0.70820000000000005</v>
      </c>
    </row>
    <row r="192" spans="1:33" x14ac:dyDescent="0.35">
      <c r="A192" s="1" t="s">
        <v>95</v>
      </c>
      <c r="B192" s="30">
        <v>0.315</v>
      </c>
      <c r="C192" s="30">
        <v>0.27300000000000002</v>
      </c>
      <c r="D192" s="30">
        <v>0.255</v>
      </c>
      <c r="E192" s="30">
        <v>0.2555</v>
      </c>
      <c r="F192" s="30">
        <v>0.25</v>
      </c>
      <c r="G192" s="30">
        <v>0.25119999999999998</v>
      </c>
      <c r="H192" s="30">
        <f t="shared" ref="H192:H194" si="403">Y192</f>
        <v>0.27679999999999999</v>
      </c>
      <c r="I192" s="30">
        <f t="shared" ref="I192:I194" si="404">AC192</f>
        <v>0.2918</v>
      </c>
      <c r="J192" s="30"/>
      <c r="N192" s="30">
        <v>0.25540000000000002</v>
      </c>
      <c r="O192" s="30">
        <v>0.25374999999999998</v>
      </c>
      <c r="P192" s="30">
        <v>0.25130000000000002</v>
      </c>
      <c r="Q192" s="30">
        <f>F192</f>
        <v>0.25</v>
      </c>
      <c r="R192" s="30">
        <v>0.26190000000000002</v>
      </c>
      <c r="S192" s="30">
        <v>0.25223000000000001</v>
      </c>
      <c r="T192" s="30">
        <v>0.25600000000000001</v>
      </c>
      <c r="U192" s="30">
        <f>G192</f>
        <v>0.25119999999999998</v>
      </c>
      <c r="V192" s="30">
        <v>0.25559999999999999</v>
      </c>
      <c r="W192" s="30">
        <v>0.2681</v>
      </c>
      <c r="X192" s="30">
        <v>0.27350000000000002</v>
      </c>
      <c r="Y192" s="30">
        <v>0.27679999999999999</v>
      </c>
      <c r="Z192" s="30">
        <v>0.28050000000000003</v>
      </c>
      <c r="AA192" s="30">
        <v>0.28410000000000002</v>
      </c>
      <c r="AB192" s="30">
        <v>0.28849999999999998</v>
      </c>
      <c r="AC192" s="30">
        <v>0.2918</v>
      </c>
    </row>
    <row r="193" spans="1:34" x14ac:dyDescent="0.35">
      <c r="A193" s="1" t="s">
        <v>145</v>
      </c>
      <c r="B193" s="30">
        <v>0.498</v>
      </c>
      <c r="C193" s="30">
        <v>0.48099999999999998</v>
      </c>
      <c r="D193" s="30">
        <v>0.45800000000000002</v>
      </c>
      <c r="E193" s="30">
        <v>0.41799999999999998</v>
      </c>
      <c r="F193" s="30">
        <v>0.38100000000000001</v>
      </c>
      <c r="G193" s="30">
        <v>0.32569999999999999</v>
      </c>
      <c r="H193" s="30">
        <f t="shared" si="403"/>
        <v>0.27579999999999999</v>
      </c>
      <c r="I193" s="30">
        <f t="shared" si="404"/>
        <v>0.23069999999999999</v>
      </c>
      <c r="J193" s="30"/>
      <c r="N193" s="30">
        <v>0.41720000000000002</v>
      </c>
      <c r="O193" s="30">
        <v>0.40427000000000002</v>
      </c>
      <c r="P193" s="30">
        <v>0.39379999999999998</v>
      </c>
      <c r="Q193" s="30">
        <f>F193</f>
        <v>0.38100000000000001</v>
      </c>
      <c r="R193" s="30">
        <v>0.36659999999999998</v>
      </c>
      <c r="S193" s="30">
        <v>0.35283999999999999</v>
      </c>
      <c r="T193" s="30">
        <v>0.3412</v>
      </c>
      <c r="U193" s="30">
        <f>G193</f>
        <v>0.32569999999999999</v>
      </c>
      <c r="V193" s="30">
        <v>0.31469999999999998</v>
      </c>
      <c r="W193" s="30">
        <v>0.30149999999999999</v>
      </c>
      <c r="X193" s="30">
        <v>0.28949999999999998</v>
      </c>
      <c r="Y193" s="30">
        <v>0.27579999999999999</v>
      </c>
      <c r="Z193" s="30">
        <v>0.26400000000000001</v>
      </c>
      <c r="AA193" s="30">
        <v>0.252</v>
      </c>
      <c r="AB193" s="30">
        <v>0.2414</v>
      </c>
      <c r="AC193" s="30">
        <v>0.23069999999999999</v>
      </c>
    </row>
    <row r="194" spans="1:34" x14ac:dyDescent="0.35">
      <c r="A194" s="1" t="s">
        <v>96</v>
      </c>
      <c r="B194" s="30">
        <v>0.502</v>
      </c>
      <c r="C194" s="30">
        <v>0.51939999999999997</v>
      </c>
      <c r="D194" s="30">
        <v>0.54200000000000004</v>
      </c>
      <c r="E194" s="30">
        <v>0.58199999999999996</v>
      </c>
      <c r="F194" s="30">
        <v>0.61899999999999999</v>
      </c>
      <c r="G194" s="30">
        <v>0.67430000000000001</v>
      </c>
      <c r="H194" s="30">
        <f t="shared" si="403"/>
        <v>0.72419999999999995</v>
      </c>
      <c r="I194" s="30">
        <f t="shared" si="404"/>
        <v>0.76929999999999998</v>
      </c>
      <c r="J194" s="30"/>
      <c r="N194" s="30">
        <v>0.58279999999999998</v>
      </c>
      <c r="O194" s="30">
        <v>0.59572000000000003</v>
      </c>
      <c r="P194" s="30">
        <v>0.60619999999999996</v>
      </c>
      <c r="Q194" s="30">
        <f>F194</f>
        <v>0.61899999999999999</v>
      </c>
      <c r="R194" s="30">
        <v>0.63339999999999996</v>
      </c>
      <c r="S194" s="30">
        <v>0.64715</v>
      </c>
      <c r="T194" s="30">
        <v>0.65880000000000005</v>
      </c>
      <c r="U194" s="30">
        <f>G194</f>
        <v>0.67430000000000001</v>
      </c>
      <c r="V194" s="30">
        <v>0.68530000000000002</v>
      </c>
      <c r="W194" s="30">
        <v>0.69850000000000001</v>
      </c>
      <c r="X194" s="30">
        <v>0.71050000000000002</v>
      </c>
      <c r="Y194" s="30">
        <v>0.72419999999999995</v>
      </c>
      <c r="Z194" s="30">
        <v>0.73599999999999999</v>
      </c>
      <c r="AA194" s="30">
        <v>0.748</v>
      </c>
      <c r="AB194" s="30">
        <v>0.75860000000000005</v>
      </c>
      <c r="AC194" s="30">
        <v>0.76929999999999998</v>
      </c>
    </row>
    <row r="195" spans="1:34" x14ac:dyDescent="0.35">
      <c r="N195" s="7"/>
      <c r="O195" s="7"/>
      <c r="Q195" s="7"/>
    </row>
    <row r="196" spans="1:34" s="5" customFormat="1" x14ac:dyDescent="0.35">
      <c r="A196" s="5" t="s">
        <v>156</v>
      </c>
      <c r="B196" s="22" t="str">
        <f t="shared" ref="B196:I196" si="405">B$1</f>
        <v>FY17</v>
      </c>
      <c r="C196" s="22" t="str">
        <f t="shared" si="405"/>
        <v>FY18</v>
      </c>
      <c r="D196" s="22" t="str">
        <f t="shared" si="405"/>
        <v>FY19</v>
      </c>
      <c r="E196" s="22" t="str">
        <f t="shared" si="405"/>
        <v>FY20</v>
      </c>
      <c r="F196" s="22" t="str">
        <f t="shared" si="405"/>
        <v>FY21</v>
      </c>
      <c r="G196" s="22" t="str">
        <f t="shared" si="405"/>
        <v>FY22</v>
      </c>
      <c r="H196" s="22" t="str">
        <f t="shared" si="405"/>
        <v>FY23</v>
      </c>
      <c r="I196" s="22" t="str">
        <f t="shared" si="405"/>
        <v>FY24</v>
      </c>
      <c r="J196" s="22"/>
      <c r="N196" s="6" t="str">
        <f t="shared" ref="N196:AC196" si="406">N$1</f>
        <v>Q1FY21</v>
      </c>
      <c r="O196" s="6" t="str">
        <f t="shared" si="406"/>
        <v>Q2FY21</v>
      </c>
      <c r="P196" s="80" t="str">
        <f t="shared" si="406"/>
        <v>Q3FY21</v>
      </c>
      <c r="Q196" s="6" t="str">
        <f t="shared" si="406"/>
        <v>Q4FY21</v>
      </c>
      <c r="R196" s="6" t="str">
        <f t="shared" si="406"/>
        <v>Q1FY22</v>
      </c>
      <c r="S196" s="80" t="str">
        <f t="shared" si="406"/>
        <v>Q2FY22</v>
      </c>
      <c r="T196" s="80" t="str">
        <f t="shared" si="406"/>
        <v>Q3FY22</v>
      </c>
      <c r="U196" s="80" t="str">
        <f t="shared" si="406"/>
        <v>Q4FY22</v>
      </c>
      <c r="V196" s="80" t="str">
        <f t="shared" si="406"/>
        <v>Q1FY23</v>
      </c>
      <c r="W196" s="80" t="str">
        <f t="shared" si="406"/>
        <v>Q2FY23</v>
      </c>
      <c r="X196" s="80" t="str">
        <f t="shared" si="406"/>
        <v>Q3FY23</v>
      </c>
      <c r="Y196" s="80" t="str">
        <f t="shared" si="406"/>
        <v>Q4FY23</v>
      </c>
      <c r="Z196" s="80" t="str">
        <f t="shared" si="406"/>
        <v>Q1FY24</v>
      </c>
      <c r="AA196" s="80" t="str">
        <f t="shared" si="406"/>
        <v>Q2FY24</v>
      </c>
      <c r="AB196" s="80" t="str">
        <f t="shared" si="406"/>
        <v>Q3FY24</v>
      </c>
      <c r="AC196" s="80" t="str">
        <f t="shared" si="406"/>
        <v>Q4FY24</v>
      </c>
      <c r="AD196" s="6"/>
      <c r="AE196" s="6"/>
      <c r="AF196" s="6"/>
    </row>
    <row r="197" spans="1:34" x14ac:dyDescent="0.35">
      <c r="A197" s="1" t="s">
        <v>157</v>
      </c>
      <c r="B197" s="38">
        <v>0.69399999999999995</v>
      </c>
      <c r="C197" s="38">
        <v>0.73599999999999999</v>
      </c>
      <c r="D197" s="38">
        <v>0.72799999999999998</v>
      </c>
      <c r="E197" s="38">
        <v>0.72940000000000005</v>
      </c>
      <c r="F197" s="38">
        <v>0.73780000000000001</v>
      </c>
      <c r="G197" s="38">
        <v>0.72319999999999995</v>
      </c>
      <c r="H197" s="38">
        <f>Y197</f>
        <v>0.69489999999999996</v>
      </c>
      <c r="I197" s="38">
        <f t="shared" ref="I197:I199" si="407">AC197</f>
        <v>0.68020000000000003</v>
      </c>
      <c r="J197" s="38"/>
      <c r="N197" s="38">
        <v>0.72929999999999995</v>
      </c>
      <c r="O197" s="38">
        <v>0.73087000000000002</v>
      </c>
      <c r="P197" s="38">
        <v>0.7349</v>
      </c>
      <c r="Q197" s="38">
        <f>F197</f>
        <v>0.73780000000000001</v>
      </c>
      <c r="R197" s="38">
        <v>0.73939999999999995</v>
      </c>
      <c r="S197" s="38">
        <v>0.73597000000000001</v>
      </c>
      <c r="T197" s="38">
        <v>0.72929999999999995</v>
      </c>
      <c r="U197" s="38">
        <f>G197</f>
        <v>0.72319999999999995</v>
      </c>
      <c r="V197" s="38">
        <v>0.71619999999999995</v>
      </c>
      <c r="W197" s="38">
        <v>0.70830000000000004</v>
      </c>
      <c r="X197" s="38">
        <v>0.70079999999999998</v>
      </c>
      <c r="Y197" s="38">
        <v>0.69489999999999996</v>
      </c>
      <c r="Z197" s="38">
        <v>0.69079999999999997</v>
      </c>
      <c r="AA197" s="38">
        <v>0.68669999999999998</v>
      </c>
      <c r="AB197" s="38">
        <v>0.68279999999999996</v>
      </c>
      <c r="AC197" s="38">
        <v>0.68020000000000003</v>
      </c>
    </row>
    <row r="198" spans="1:34" x14ac:dyDescent="0.35">
      <c r="A198" s="1" t="s">
        <v>158</v>
      </c>
      <c r="B198" s="38">
        <v>0.30599999999999999</v>
      </c>
      <c r="C198" s="38">
        <v>0.251</v>
      </c>
      <c r="D198" s="38">
        <v>0.23799999999999999</v>
      </c>
      <c r="E198" s="38">
        <v>0.2495</v>
      </c>
      <c r="F198" s="38">
        <v>0.25069999999999998</v>
      </c>
      <c r="G198" s="38">
        <v>0.27260000000000001</v>
      </c>
      <c r="H198" s="38">
        <f t="shared" ref="H198:H199" si="408">Y198</f>
        <v>0.30280000000000001</v>
      </c>
      <c r="I198" s="38">
        <f t="shared" si="407"/>
        <v>0.31919999999999998</v>
      </c>
      <c r="J198" s="38"/>
      <c r="N198" s="38">
        <v>0.25040000000000001</v>
      </c>
      <c r="O198" s="38">
        <v>0.25028</v>
      </c>
      <c r="P198" s="38">
        <v>0.24990000000000001</v>
      </c>
      <c r="Q198" s="38">
        <f>F198</f>
        <v>0.25069999999999998</v>
      </c>
      <c r="R198" s="38">
        <v>0.25109999999999999</v>
      </c>
      <c r="S198" s="38">
        <v>0.25722</v>
      </c>
      <c r="T198" s="38">
        <v>0.26550000000000001</v>
      </c>
      <c r="U198" s="38">
        <f>G198</f>
        <v>0.27260000000000001</v>
      </c>
      <c r="V198" s="38">
        <v>0.2802</v>
      </c>
      <c r="W198" s="38">
        <v>0.28849999999999998</v>
      </c>
      <c r="X198" s="38">
        <v>0.29649999999999999</v>
      </c>
      <c r="Y198" s="38">
        <v>0.30280000000000001</v>
      </c>
      <c r="Z198" s="38">
        <v>0.30719999999999997</v>
      </c>
      <c r="AA198" s="38">
        <v>0.31169999999999998</v>
      </c>
      <c r="AB198" s="38">
        <v>0.31630000000000003</v>
      </c>
      <c r="AC198" s="38">
        <v>0.31919999999999998</v>
      </c>
    </row>
    <row r="199" spans="1:34" x14ac:dyDescent="0.35">
      <c r="A199" s="1" t="s">
        <v>159</v>
      </c>
      <c r="B199" s="38">
        <v>0</v>
      </c>
      <c r="C199" s="38">
        <v>1.2999999999999999E-2</v>
      </c>
      <c r="D199" s="38">
        <v>3.4000000000000002E-2</v>
      </c>
      <c r="E199" s="38">
        <v>2.1000000000000001E-2</v>
      </c>
      <c r="F199" s="38">
        <v>1.15E-2</v>
      </c>
      <c r="G199" s="38">
        <v>4.1999999999999997E-3</v>
      </c>
      <c r="H199" s="38">
        <f t="shared" si="408"/>
        <v>2.3E-3</v>
      </c>
      <c r="I199" s="38">
        <f t="shared" si="407"/>
        <v>5.9999999999999995E-4</v>
      </c>
      <c r="J199" s="38"/>
      <c r="N199" s="38">
        <v>2.0299999999999999E-2</v>
      </c>
      <c r="O199" s="38">
        <v>1.8839999999999999E-2</v>
      </c>
      <c r="P199" s="38">
        <v>1.5100000000000001E-2</v>
      </c>
      <c r="Q199" s="38">
        <f>F199</f>
        <v>1.15E-2</v>
      </c>
      <c r="R199" s="38">
        <v>9.4999999999999998E-3</v>
      </c>
      <c r="S199" s="38">
        <v>6.79E-3</v>
      </c>
      <c r="T199" s="38">
        <v>5.1999999999999998E-3</v>
      </c>
      <c r="U199" s="38">
        <f>G199</f>
        <v>4.1999999999999997E-3</v>
      </c>
      <c r="V199" s="38">
        <v>3.5999999999999999E-3</v>
      </c>
      <c r="W199" s="38">
        <v>3.2000000000000002E-3</v>
      </c>
      <c r="X199" s="38">
        <v>2.7000000000000001E-3</v>
      </c>
      <c r="Y199" s="38">
        <v>2.3E-3</v>
      </c>
      <c r="Z199" s="38">
        <v>2E-3</v>
      </c>
      <c r="AA199" s="38">
        <v>1.6999999999999999E-3</v>
      </c>
      <c r="AB199" s="38">
        <v>8.9999999999999998E-4</v>
      </c>
      <c r="AC199" s="38">
        <v>5.9999999999999995E-4</v>
      </c>
    </row>
    <row r="200" spans="1:34" x14ac:dyDescent="0.35">
      <c r="B200" s="46"/>
      <c r="C200" s="46"/>
      <c r="D200" s="46"/>
      <c r="E200" s="46"/>
      <c r="F200" s="46"/>
      <c r="G200" s="46"/>
      <c r="H200" s="46"/>
      <c r="I200" s="46"/>
      <c r="J200" s="46"/>
      <c r="N200" s="46"/>
      <c r="O200" s="46"/>
      <c r="P200" s="42"/>
      <c r="Q200" s="46"/>
      <c r="R200" s="46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</row>
    <row r="201" spans="1:34" s="5" customFormat="1" x14ac:dyDescent="0.35">
      <c r="A201" s="5" t="s">
        <v>252</v>
      </c>
      <c r="B201" s="22" t="str">
        <f t="shared" ref="B201:I201" si="409">B$1</f>
        <v>FY17</v>
      </c>
      <c r="C201" s="22" t="str">
        <f t="shared" si="409"/>
        <v>FY18</v>
      </c>
      <c r="D201" s="22" t="str">
        <f t="shared" si="409"/>
        <v>FY19</v>
      </c>
      <c r="E201" s="22" t="str">
        <f t="shared" si="409"/>
        <v>FY20</v>
      </c>
      <c r="F201" s="22" t="str">
        <f t="shared" si="409"/>
        <v>FY21</v>
      </c>
      <c r="G201" s="22" t="str">
        <f t="shared" si="409"/>
        <v>FY22</v>
      </c>
      <c r="H201" s="22" t="str">
        <f t="shared" si="409"/>
        <v>FY23</v>
      </c>
      <c r="I201" s="22" t="str">
        <f t="shared" si="409"/>
        <v>FY24</v>
      </c>
      <c r="J201" s="22"/>
      <c r="N201" s="6" t="str">
        <f t="shared" ref="N201:AC201" si="410">N$1</f>
        <v>Q1FY21</v>
      </c>
      <c r="O201" s="6" t="str">
        <f t="shared" si="410"/>
        <v>Q2FY21</v>
      </c>
      <c r="P201" s="80" t="str">
        <f t="shared" si="410"/>
        <v>Q3FY21</v>
      </c>
      <c r="Q201" s="6" t="str">
        <f t="shared" si="410"/>
        <v>Q4FY21</v>
      </c>
      <c r="R201" s="6" t="str">
        <f t="shared" si="410"/>
        <v>Q1FY22</v>
      </c>
      <c r="S201" s="80" t="str">
        <f t="shared" si="410"/>
        <v>Q2FY22</v>
      </c>
      <c r="T201" s="80" t="str">
        <f t="shared" si="410"/>
        <v>Q3FY22</v>
      </c>
      <c r="U201" s="80" t="str">
        <f t="shared" si="410"/>
        <v>Q4FY22</v>
      </c>
      <c r="V201" s="80" t="str">
        <f t="shared" si="410"/>
        <v>Q1FY23</v>
      </c>
      <c r="W201" s="80" t="str">
        <f t="shared" si="410"/>
        <v>Q2FY23</v>
      </c>
      <c r="X201" s="80" t="str">
        <f t="shared" si="410"/>
        <v>Q3FY23</v>
      </c>
      <c r="Y201" s="80" t="str">
        <f t="shared" si="410"/>
        <v>Q4FY23</v>
      </c>
      <c r="Z201" s="80" t="str">
        <f t="shared" si="410"/>
        <v>Q1FY24</v>
      </c>
      <c r="AA201" s="80" t="str">
        <f t="shared" si="410"/>
        <v>Q2FY24</v>
      </c>
      <c r="AB201" s="80" t="str">
        <f t="shared" si="410"/>
        <v>Q3FY24</v>
      </c>
      <c r="AC201" s="80" t="str">
        <f t="shared" si="410"/>
        <v>Q4FY24</v>
      </c>
      <c r="AD201" s="6"/>
      <c r="AE201" s="6"/>
      <c r="AF201" s="6"/>
    </row>
    <row r="202" spans="1:34" x14ac:dyDescent="0.35">
      <c r="A202" s="1" t="s">
        <v>160</v>
      </c>
      <c r="B202" s="38">
        <v>3.2593507026894335E-2</v>
      </c>
      <c r="C202" s="38">
        <v>3.0053867008080052E-2</v>
      </c>
      <c r="D202" s="38">
        <v>3.6081984830416428E-2</v>
      </c>
      <c r="E202" s="38">
        <v>3.4362798803011352E-2</v>
      </c>
      <c r="F202" s="38">
        <v>3.0495465059971041E-2</v>
      </c>
      <c r="G202" s="38">
        <v>2.4203211618959625E-2</v>
      </c>
      <c r="H202" s="38">
        <f t="shared" ref="H202:H207" si="411">Y202</f>
        <v>1.83E-2</v>
      </c>
      <c r="I202" s="38">
        <f t="shared" ref="I202:I207" si="412">AC202</f>
        <v>1.44E-2</v>
      </c>
      <c r="J202" s="38"/>
      <c r="N202" s="38">
        <v>3.4228000000000001E-2</v>
      </c>
      <c r="O202" s="38">
        <v>3.2582E-2</v>
      </c>
      <c r="P202" s="38">
        <v>3.1983449996411652E-2</v>
      </c>
      <c r="Q202" s="38">
        <f>F202</f>
        <v>3.0495465059971041E-2</v>
      </c>
      <c r="R202" s="38">
        <v>2.9489999999999999E-2</v>
      </c>
      <c r="S202" s="38">
        <v>2.7699999999999999E-2</v>
      </c>
      <c r="T202" s="38">
        <v>2.607692941357205E-2</v>
      </c>
      <c r="U202" s="38">
        <f>G202</f>
        <v>2.4203211618959625E-2</v>
      </c>
      <c r="V202" s="38">
        <v>2.24E-2</v>
      </c>
      <c r="W202" s="38">
        <v>2.1000000000000001E-2</v>
      </c>
      <c r="X202" s="38">
        <v>1.9400000000000001E-2</v>
      </c>
      <c r="Y202" s="38">
        <v>1.83E-2</v>
      </c>
      <c r="Z202" s="38">
        <v>1.6799999999999999E-2</v>
      </c>
      <c r="AA202" s="38">
        <v>1.6299999999999999E-2</v>
      </c>
      <c r="AB202" s="38">
        <v>1.54E-2</v>
      </c>
      <c r="AC202" s="38">
        <v>1.44E-2</v>
      </c>
      <c r="AG202" s="132"/>
      <c r="AH202" s="112"/>
    </row>
    <row r="203" spans="1:34" x14ac:dyDescent="0.35">
      <c r="A203" s="20" t="s">
        <v>161</v>
      </c>
      <c r="B203" s="38">
        <v>0.32455541970174057</v>
      </c>
      <c r="C203" s="38">
        <v>0.34963331494499722</v>
      </c>
      <c r="D203" s="38">
        <v>0.33490534765879809</v>
      </c>
      <c r="E203" s="38">
        <v>0.34967885146513467</v>
      </c>
      <c r="F203" s="38">
        <v>0.35497792623210939</v>
      </c>
      <c r="G203" s="38">
        <v>0.33252762680482001</v>
      </c>
      <c r="H203" s="38">
        <f t="shared" si="411"/>
        <v>0.2777</v>
      </c>
      <c r="I203" s="38">
        <f t="shared" si="412"/>
        <v>0.23799999999999999</v>
      </c>
      <c r="J203" s="38"/>
      <c r="N203" s="38">
        <v>0.35084900000000002</v>
      </c>
      <c r="O203" s="38">
        <v>0.345439</v>
      </c>
      <c r="P203" s="38">
        <v>0.35519412403848949</v>
      </c>
      <c r="Q203" s="38">
        <f>F203</f>
        <v>0.35497792623210939</v>
      </c>
      <c r="R203" s="38">
        <v>0.35309000000000001</v>
      </c>
      <c r="S203" s="38">
        <v>0.34849999999999998</v>
      </c>
      <c r="T203" s="38">
        <v>0.34303564191117208</v>
      </c>
      <c r="U203" s="38">
        <f>G203</f>
        <v>0.33252762680482001</v>
      </c>
      <c r="V203" s="38">
        <v>0.32269999999999999</v>
      </c>
      <c r="W203" s="38">
        <v>0.30809999999999998</v>
      </c>
      <c r="X203" s="38">
        <v>0.2928</v>
      </c>
      <c r="Y203" s="38">
        <v>0.2777</v>
      </c>
      <c r="Z203" s="38">
        <v>0.26750000000000002</v>
      </c>
      <c r="AA203" s="38">
        <v>0.25879999999999997</v>
      </c>
      <c r="AB203" s="38">
        <v>0.24890000000000001</v>
      </c>
      <c r="AC203" s="38">
        <v>0.23799999999999999</v>
      </c>
      <c r="AG203" s="132"/>
      <c r="AH203" s="112"/>
    </row>
    <row r="204" spans="1:34" x14ac:dyDescent="0.35">
      <c r="A204" s="20" t="s">
        <v>162</v>
      </c>
      <c r="B204" s="38">
        <v>0.36526750350518578</v>
      </c>
      <c r="C204" s="38">
        <v>0.33320476248071434</v>
      </c>
      <c r="D204" s="38">
        <v>0.30580330286703</v>
      </c>
      <c r="E204" s="38">
        <v>0.31660604025106925</v>
      </c>
      <c r="F204" s="38">
        <v>0.32639196043889818</v>
      </c>
      <c r="G204" s="38">
        <v>0.32513059071208961</v>
      </c>
      <c r="H204" s="38">
        <f t="shared" si="411"/>
        <v>0.32079999999999997</v>
      </c>
      <c r="I204" s="38">
        <f t="shared" si="412"/>
        <v>0.30819999999999997</v>
      </c>
      <c r="J204" s="38"/>
      <c r="N204" s="38">
        <v>0.31698599999999999</v>
      </c>
      <c r="O204" s="38">
        <v>0.3216934745538475</v>
      </c>
      <c r="P204" s="38">
        <v>0.32444418247566048</v>
      </c>
      <c r="Q204" s="38">
        <f>F204</f>
        <v>0.32639196043889818</v>
      </c>
      <c r="R204" s="38">
        <v>0.33015099999999997</v>
      </c>
      <c r="S204" s="38">
        <v>0.32990000000000003</v>
      </c>
      <c r="T204" s="38">
        <v>0.32864077210018222</v>
      </c>
      <c r="U204" s="38">
        <f>G204</f>
        <v>0.32513059071208961</v>
      </c>
      <c r="V204" s="38">
        <v>0.32289000000000001</v>
      </c>
      <c r="W204" s="38">
        <v>0.32329999999999998</v>
      </c>
      <c r="X204" s="38">
        <v>0.32200000000000001</v>
      </c>
      <c r="Y204" s="38">
        <v>0.32079999999999997</v>
      </c>
      <c r="Z204" s="38">
        <v>0.32019999999999998</v>
      </c>
      <c r="AA204" s="38">
        <v>0.317</v>
      </c>
      <c r="AB204" s="38">
        <v>0.3135</v>
      </c>
      <c r="AC204" s="38">
        <v>0.30819999999999997</v>
      </c>
      <c r="AG204" s="132"/>
      <c r="AH204" s="112"/>
    </row>
    <row r="205" spans="1:34" x14ac:dyDescent="0.35">
      <c r="A205" s="20" t="s">
        <v>192</v>
      </c>
      <c r="B205" s="38">
        <v>0.1585901835914818</v>
      </c>
      <c r="C205" s="38">
        <v>0.15643114846467226</v>
      </c>
      <c r="D205" s="38">
        <v>0.14270572530236447</v>
      </c>
      <c r="E205" s="38">
        <v>0.13946674023984873</v>
      </c>
      <c r="F205" s="38">
        <v>0.1422700485986842</v>
      </c>
      <c r="G205" s="38">
        <v>0.1577711432192466</v>
      </c>
      <c r="H205" s="38">
        <f t="shared" si="411"/>
        <v>0.1812</v>
      </c>
      <c r="I205" s="38">
        <f t="shared" si="412"/>
        <v>0.2026</v>
      </c>
      <c r="J205" s="38"/>
      <c r="N205" s="38">
        <v>0.13925199999999999</v>
      </c>
      <c r="O205" s="38">
        <v>0.14230100000000001</v>
      </c>
      <c r="P205" s="38">
        <v>0.13926546970837578</v>
      </c>
      <c r="Q205" s="38">
        <f>F205</f>
        <v>0.1422700485986842</v>
      </c>
      <c r="R205" s="38">
        <v>0.14341000000000001</v>
      </c>
      <c r="S205" s="38">
        <v>0.14760000000000001</v>
      </c>
      <c r="T205" s="38">
        <v>0.15116153444214223</v>
      </c>
      <c r="U205" s="38">
        <f>G205</f>
        <v>0.1577711432192466</v>
      </c>
      <c r="V205" s="38">
        <v>0.16309999999999999</v>
      </c>
      <c r="W205" s="38">
        <v>0.1686</v>
      </c>
      <c r="X205" s="38">
        <v>0.17610000000000001</v>
      </c>
      <c r="Y205" s="38">
        <v>0.1812</v>
      </c>
      <c r="Z205" s="38">
        <v>0.18590000000000001</v>
      </c>
      <c r="AA205" s="38">
        <v>0.1903</v>
      </c>
      <c r="AB205" s="38">
        <v>0.1963</v>
      </c>
      <c r="AC205" s="38">
        <v>0.2026</v>
      </c>
      <c r="AG205" s="132"/>
      <c r="AH205" s="112"/>
    </row>
    <row r="206" spans="1:34" x14ac:dyDescent="0.35">
      <c r="A206" s="20" t="s">
        <v>193</v>
      </c>
      <c r="B206" s="38">
        <v>6.5897492788994899E-2</v>
      </c>
      <c r="C206" s="38">
        <v>5.9326721399008207E-2</v>
      </c>
      <c r="D206" s="38">
        <v>6.1252902510830445E-2</v>
      </c>
      <c r="E206" s="38">
        <v>5.9695196997411028E-2</v>
      </c>
      <c r="F206" s="38">
        <v>6.007956089159619E-2</v>
      </c>
      <c r="G206" s="38">
        <v>7.1329014103161822E-2</v>
      </c>
      <c r="H206" s="38">
        <f t="shared" si="411"/>
        <v>9.0999999999999998E-2</v>
      </c>
      <c r="I206" s="38">
        <f t="shared" si="412"/>
        <v>0.109</v>
      </c>
      <c r="J206" s="38"/>
      <c r="N206" s="38">
        <v>5.9663000000000001E-2</v>
      </c>
      <c r="O206" s="38">
        <v>6.15659E-2</v>
      </c>
      <c r="P206" s="38">
        <v>6.0081996159402164E-2</v>
      </c>
      <c r="Q206" s="38">
        <f>F206</f>
        <v>6.007956089159619E-2</v>
      </c>
      <c r="R206" s="38">
        <v>6.0509E-2</v>
      </c>
      <c r="S206" s="38">
        <v>6.318E-2</v>
      </c>
      <c r="T206" s="38">
        <v>6.6048047432446508E-2</v>
      </c>
      <c r="U206" s="38">
        <f>G206</f>
        <v>7.1329014103161822E-2</v>
      </c>
      <c r="V206" s="38">
        <v>7.5300000000000006E-2</v>
      </c>
      <c r="W206" s="38">
        <v>8.0600000000000005E-2</v>
      </c>
      <c r="X206" s="38">
        <v>8.5300000000000001E-2</v>
      </c>
      <c r="Y206" s="38">
        <v>9.0999999999999998E-2</v>
      </c>
      <c r="Z206" s="38">
        <v>9.6000000000000002E-2</v>
      </c>
      <c r="AA206" s="38">
        <v>0.10050000000000001</v>
      </c>
      <c r="AB206" s="38">
        <v>0.1038</v>
      </c>
      <c r="AC206" s="38">
        <v>0.109</v>
      </c>
      <c r="AG206" s="132"/>
      <c r="AH206" s="112"/>
    </row>
    <row r="207" spans="1:34" x14ac:dyDescent="0.35">
      <c r="A207" s="1" t="s">
        <v>163</v>
      </c>
      <c r="B207" s="38">
        <f t="shared" ref="B207:G207" si="413">1-B202-B205-B203-B204-B206</f>
        <v>5.3095893385702614E-2</v>
      </c>
      <c r="C207" s="38">
        <f t="shared" si="413"/>
        <v>7.1350185702527796E-2</v>
      </c>
      <c r="D207" s="38">
        <f t="shared" si="413"/>
        <v>0.11925073683056052</v>
      </c>
      <c r="E207" s="38">
        <f t="shared" si="413"/>
        <v>0.10019037224352503</v>
      </c>
      <c r="F207" s="38">
        <f t="shared" si="413"/>
        <v>8.5785038778741024E-2</v>
      </c>
      <c r="G207" s="38">
        <f t="shared" si="413"/>
        <v>8.903841354172233E-2</v>
      </c>
      <c r="H207" s="38">
        <f t="shared" si="411"/>
        <v>0.11099999999999999</v>
      </c>
      <c r="I207" s="38">
        <f t="shared" si="412"/>
        <v>0.1278</v>
      </c>
      <c r="J207" s="38"/>
      <c r="N207" s="38">
        <f t="shared" ref="N207:U207" si="414">1-N202-N205-N203-N204-N206</f>
        <v>9.9021999999999916E-2</v>
      </c>
      <c r="O207" s="38">
        <f t="shared" si="414"/>
        <v>9.6418625446152484E-2</v>
      </c>
      <c r="P207" s="38">
        <f t="shared" si="414"/>
        <v>8.9030777621660367E-2</v>
      </c>
      <c r="Q207" s="38">
        <f t="shared" si="414"/>
        <v>8.5785038778741024E-2</v>
      </c>
      <c r="R207" s="38">
        <f t="shared" si="414"/>
        <v>8.3349999999999952E-2</v>
      </c>
      <c r="S207" s="38">
        <f t="shared" si="414"/>
        <v>8.3119999999999986E-2</v>
      </c>
      <c r="T207" s="38">
        <f>1-T202-T205-T203-T204-T206</f>
        <v>8.5037074700484896E-2</v>
      </c>
      <c r="U207" s="38">
        <f t="shared" si="414"/>
        <v>8.903841354172233E-2</v>
      </c>
      <c r="V207" s="38">
        <f t="shared" ref="V207" si="415">1-V202-V205-V203-V204-V206</f>
        <v>9.3609999999999999E-2</v>
      </c>
      <c r="W207" s="38">
        <f>1-W202-W203-W204-W205-W206</f>
        <v>9.8400000000000071E-2</v>
      </c>
      <c r="X207" s="38">
        <f>1-X202-X203-X204-X205-X206</f>
        <v>0.10439999999999995</v>
      </c>
      <c r="Y207" s="38">
        <f>1-Y202-Y203-Y204-Y205-Y206</f>
        <v>0.11099999999999999</v>
      </c>
      <c r="Z207" s="38">
        <f>1-Z202-Z203-Z204-Z205-Z206</f>
        <v>0.11360000000000001</v>
      </c>
      <c r="AA207" s="38">
        <v>0.1171</v>
      </c>
      <c r="AB207" s="38">
        <v>0.1221</v>
      </c>
      <c r="AC207" s="38">
        <v>0.1278</v>
      </c>
      <c r="AG207" s="132"/>
      <c r="AH207" s="112"/>
    </row>
    <row r="209" spans="1:34" s="5" customFormat="1" x14ac:dyDescent="0.35">
      <c r="A209" s="5" t="s">
        <v>103</v>
      </c>
      <c r="B209" s="22" t="str">
        <f t="shared" ref="B209:I209" si="416">B$1</f>
        <v>FY17</v>
      </c>
      <c r="C209" s="22" t="str">
        <f t="shared" si="416"/>
        <v>FY18</v>
      </c>
      <c r="D209" s="22" t="str">
        <f t="shared" si="416"/>
        <v>FY19</v>
      </c>
      <c r="E209" s="22" t="str">
        <f t="shared" si="416"/>
        <v>FY20</v>
      </c>
      <c r="F209" s="22" t="str">
        <f t="shared" si="416"/>
        <v>FY21</v>
      </c>
      <c r="G209" s="22" t="str">
        <f t="shared" si="416"/>
        <v>FY22</v>
      </c>
      <c r="H209" s="22" t="str">
        <f t="shared" si="416"/>
        <v>FY23</v>
      </c>
      <c r="I209" s="22" t="str">
        <f t="shared" si="416"/>
        <v>FY24</v>
      </c>
      <c r="J209" s="22"/>
      <c r="N209" s="6" t="str">
        <f t="shared" ref="N209:AE209" si="417">N$1</f>
        <v>Q1FY21</v>
      </c>
      <c r="O209" s="6" t="str">
        <f t="shared" si="417"/>
        <v>Q2FY21</v>
      </c>
      <c r="P209" s="80" t="str">
        <f t="shared" si="417"/>
        <v>Q3FY21</v>
      </c>
      <c r="Q209" s="6" t="str">
        <f t="shared" si="417"/>
        <v>Q4FY21</v>
      </c>
      <c r="R209" s="6" t="str">
        <f t="shared" si="417"/>
        <v>Q1FY22</v>
      </c>
      <c r="S209" s="80" t="str">
        <f t="shared" si="417"/>
        <v>Q2FY22</v>
      </c>
      <c r="T209" s="80" t="str">
        <f t="shared" si="417"/>
        <v>Q3FY22</v>
      </c>
      <c r="U209" s="80" t="str">
        <f t="shared" si="417"/>
        <v>Q4FY22</v>
      </c>
      <c r="V209" s="80" t="str">
        <f t="shared" si="417"/>
        <v>Q1FY23</v>
      </c>
      <c r="W209" s="80" t="str">
        <f t="shared" si="417"/>
        <v>Q2FY23</v>
      </c>
      <c r="X209" s="80" t="str">
        <f t="shared" si="417"/>
        <v>Q3FY23</v>
      </c>
      <c r="Y209" s="80" t="str">
        <f t="shared" si="417"/>
        <v>Q4FY23</v>
      </c>
      <c r="Z209" s="80" t="str">
        <f t="shared" si="417"/>
        <v>Q1FY24</v>
      </c>
      <c r="AA209" s="80" t="str">
        <f t="shared" si="417"/>
        <v>Q2FY24</v>
      </c>
      <c r="AB209" s="80" t="str">
        <f t="shared" si="417"/>
        <v>Q3FY24</v>
      </c>
      <c r="AC209" s="80" t="str">
        <f t="shared" si="417"/>
        <v>Q4FY24</v>
      </c>
      <c r="AD209" s="6" t="str">
        <f t="shared" si="417"/>
        <v>y-o-y</v>
      </c>
      <c r="AE209" s="6" t="str">
        <f t="shared" si="417"/>
        <v>q-o-q</v>
      </c>
      <c r="AF209" s="6"/>
    </row>
    <row r="210" spans="1:34" x14ac:dyDescent="0.35">
      <c r="A210" s="1" t="s">
        <v>63</v>
      </c>
      <c r="B210" s="26">
        <v>2799.9</v>
      </c>
      <c r="C210" s="26">
        <v>5157.99</v>
      </c>
      <c r="D210" s="26">
        <v>9959.86</v>
      </c>
      <c r="E210" s="26">
        <v>14375.05</v>
      </c>
      <c r="F210" s="26">
        <v>15824.26</v>
      </c>
      <c r="G210" s="26">
        <v>19379.98</v>
      </c>
      <c r="H210" s="26">
        <f t="shared" ref="H210:H220" si="418">Y210</f>
        <v>23432.240000000002</v>
      </c>
      <c r="I210" s="26">
        <f t="shared" ref="I210:I220" si="419">AC210</f>
        <v>30277.97</v>
      </c>
      <c r="J210" s="26"/>
      <c r="N210" s="26">
        <v>14339.33</v>
      </c>
      <c r="O210" s="26">
        <v>14539.78</v>
      </c>
      <c r="P210" s="26">
        <v>15344.75</v>
      </c>
      <c r="Q210" s="26">
        <f t="shared" ref="Q210:Q220" si="420">F210</f>
        <v>15824.26</v>
      </c>
      <c r="R210" s="35">
        <v>16387.060000000001</v>
      </c>
      <c r="S210" s="35">
        <v>17322.41</v>
      </c>
      <c r="T210" s="35">
        <v>18473.48</v>
      </c>
      <c r="U210" s="35">
        <f t="shared" ref="U210:U220" si="421">G210</f>
        <v>19379.98</v>
      </c>
      <c r="V210" s="35">
        <v>20413.509999999998</v>
      </c>
      <c r="W210" s="35">
        <v>21310.97</v>
      </c>
      <c r="X210" s="35">
        <v>22404.49</v>
      </c>
      <c r="Y210" s="35">
        <v>23432.240000000002</v>
      </c>
      <c r="Z210" s="35">
        <v>25354.85</v>
      </c>
      <c r="AA210" s="35">
        <v>27020.92</v>
      </c>
      <c r="AB210" s="35">
        <v>28818.596000000001</v>
      </c>
      <c r="AC210" s="35">
        <v>30277.97</v>
      </c>
      <c r="AD210" s="69">
        <f t="shared" ref="AD210:AD221" si="422">IFERROR(AC210/Y210-1,"")</f>
        <v>0.2921500462610489</v>
      </c>
      <c r="AE210" s="69">
        <f t="shared" ref="AE210:AE221" si="423">IFERROR(AC210/AB210-1,"")</f>
        <v>5.0640010359977339E-2</v>
      </c>
      <c r="AF210" s="75"/>
      <c r="AG210" s="131"/>
    </row>
    <row r="211" spans="1:34" x14ac:dyDescent="0.35">
      <c r="A211" s="1" t="s">
        <v>65</v>
      </c>
      <c r="B211" s="26">
        <v>803.84</v>
      </c>
      <c r="C211" s="26">
        <v>1175.71</v>
      </c>
      <c r="D211" s="26">
        <v>2087.3200000000002</v>
      </c>
      <c r="E211" s="26">
        <v>3595.52</v>
      </c>
      <c r="F211" s="26">
        <v>4613.58</v>
      </c>
      <c r="G211" s="26">
        <v>6574.35</v>
      </c>
      <c r="H211" s="26">
        <f>Y211</f>
        <v>9879.89</v>
      </c>
      <c r="I211" s="26">
        <f>AC211</f>
        <v>13548.19</v>
      </c>
      <c r="J211" s="26"/>
      <c r="N211" s="26">
        <v>3652.61</v>
      </c>
      <c r="O211" s="26">
        <v>3917.97</v>
      </c>
      <c r="P211" s="26">
        <v>4244.7700000000004</v>
      </c>
      <c r="Q211" s="26">
        <f>F211</f>
        <v>4613.58</v>
      </c>
      <c r="R211" s="35">
        <v>4904.37</v>
      </c>
      <c r="S211" s="35">
        <v>5452.55</v>
      </c>
      <c r="T211" s="35">
        <v>5994.18</v>
      </c>
      <c r="U211" s="35">
        <f>G211</f>
        <v>6574.35</v>
      </c>
      <c r="V211" s="35">
        <v>7349.82</v>
      </c>
      <c r="W211" s="35">
        <v>8201.16</v>
      </c>
      <c r="X211" s="35">
        <v>9095.48</v>
      </c>
      <c r="Y211" s="35">
        <v>9879.89</v>
      </c>
      <c r="Z211" s="35">
        <v>10773.63</v>
      </c>
      <c r="AA211" s="35">
        <v>11747.39</v>
      </c>
      <c r="AB211" s="35">
        <v>12658.031999999999</v>
      </c>
      <c r="AC211" s="35">
        <v>13548.19</v>
      </c>
      <c r="AD211" s="69">
        <f>IFERROR(AC211/Y211-1,"")</f>
        <v>0.37128955889185011</v>
      </c>
      <c r="AE211" s="69">
        <f>IFERROR(AC211/AB211-1,"")</f>
        <v>7.0323570046275874E-2</v>
      </c>
      <c r="AF211" s="75"/>
      <c r="AG211" s="131"/>
    </row>
    <row r="212" spans="1:34" x14ac:dyDescent="0.35">
      <c r="A212" s="1" t="s">
        <v>64</v>
      </c>
      <c r="B212" s="26">
        <v>3098.04</v>
      </c>
      <c r="C212" s="26">
        <v>4824.8</v>
      </c>
      <c r="D212" s="26">
        <v>6943.49</v>
      </c>
      <c r="E212" s="26">
        <v>7847.28</v>
      </c>
      <c r="F212" s="26">
        <v>7963.53</v>
      </c>
      <c r="G212" s="26">
        <v>8668.4599999999991</v>
      </c>
      <c r="H212" s="26">
        <f t="shared" si="418"/>
        <v>10369.89</v>
      </c>
      <c r="I212" s="26">
        <f t="shared" si="419"/>
        <v>12910.28</v>
      </c>
      <c r="J212" s="26"/>
      <c r="N212" s="26">
        <v>7786.82</v>
      </c>
      <c r="O212" s="26">
        <v>7794.21</v>
      </c>
      <c r="P212" s="26">
        <v>7873.45</v>
      </c>
      <c r="Q212" s="26">
        <f t="shared" si="420"/>
        <v>7963.53</v>
      </c>
      <c r="R212" s="35">
        <v>8017.33</v>
      </c>
      <c r="S212" s="35">
        <v>8165.57</v>
      </c>
      <c r="T212" s="35">
        <v>8361.82</v>
      </c>
      <c r="U212" s="35">
        <f t="shared" si="421"/>
        <v>8668.4599999999991</v>
      </c>
      <c r="V212" s="35">
        <v>9145.51</v>
      </c>
      <c r="W212" s="35">
        <v>9528.36</v>
      </c>
      <c r="X212" s="35">
        <v>9994.15</v>
      </c>
      <c r="Y212" s="35">
        <v>10369.89</v>
      </c>
      <c r="Z212" s="35">
        <v>10866.52</v>
      </c>
      <c r="AA212" s="35">
        <v>11376.05</v>
      </c>
      <c r="AB212" s="35">
        <v>12045.311</v>
      </c>
      <c r="AC212" s="35">
        <v>12910.28</v>
      </c>
      <c r="AD212" s="69">
        <f t="shared" si="422"/>
        <v>0.24497752628041392</v>
      </c>
      <c r="AE212" s="69">
        <f t="shared" si="423"/>
        <v>7.1809602923494475E-2</v>
      </c>
      <c r="AF212" s="75"/>
      <c r="AG212" s="131"/>
    </row>
    <row r="213" spans="1:34" x14ac:dyDescent="0.35">
      <c r="A213" s="1" t="s">
        <v>32</v>
      </c>
      <c r="B213" s="26">
        <v>89.16</v>
      </c>
      <c r="C213" s="26">
        <v>136.69</v>
      </c>
      <c r="D213" s="26">
        <v>766.24</v>
      </c>
      <c r="E213" s="26">
        <v>1758.1</v>
      </c>
      <c r="F213" s="26">
        <v>2269.9699999999998</v>
      </c>
      <c r="G213" s="26">
        <v>4032.02</v>
      </c>
      <c r="H213" s="26">
        <f>Y213</f>
        <v>6390.22</v>
      </c>
      <c r="I213" s="26">
        <f>AC213</f>
        <v>8608.64</v>
      </c>
      <c r="J213" s="26"/>
      <c r="N213" s="26">
        <v>1781.45</v>
      </c>
      <c r="O213" s="26">
        <v>1874.78</v>
      </c>
      <c r="P213" s="26">
        <v>1981.87</v>
      </c>
      <c r="Q213" s="26">
        <f>F213</f>
        <v>2269.9699999999998</v>
      </c>
      <c r="R213" s="35">
        <v>2469.9</v>
      </c>
      <c r="S213" s="35">
        <v>2895.52</v>
      </c>
      <c r="T213" s="35">
        <v>3404.31</v>
      </c>
      <c r="U213" s="35">
        <f>G213</f>
        <v>4032.02</v>
      </c>
      <c r="V213" s="35">
        <v>4641.09</v>
      </c>
      <c r="W213" s="35">
        <v>5238.78</v>
      </c>
      <c r="X213" s="35">
        <v>5820.65</v>
      </c>
      <c r="Y213" s="35">
        <v>6390.22</v>
      </c>
      <c r="Z213" s="35">
        <v>6938.21</v>
      </c>
      <c r="AA213" s="35">
        <v>7521.4</v>
      </c>
      <c r="AB213" s="35">
        <v>8054.723</v>
      </c>
      <c r="AC213" s="35">
        <v>8608.64</v>
      </c>
      <c r="AD213" s="69">
        <f>IFERROR(AC213/Y213-1,"")</f>
        <v>0.34715862677654274</v>
      </c>
      <c r="AE213" s="69">
        <f>IFERROR(AC213/AB213-1,"")</f>
        <v>6.8769217762050916E-2</v>
      </c>
      <c r="AF213" s="75"/>
      <c r="AG213" s="131"/>
    </row>
    <row r="214" spans="1:34" x14ac:dyDescent="0.35">
      <c r="A214" s="1" t="s">
        <v>31</v>
      </c>
      <c r="B214" s="26">
        <v>762.72</v>
      </c>
      <c r="C214" s="26">
        <v>951.4</v>
      </c>
      <c r="D214" s="26">
        <v>2004.13</v>
      </c>
      <c r="E214" s="26">
        <v>3252.92</v>
      </c>
      <c r="F214" s="26">
        <v>3758.87</v>
      </c>
      <c r="G214" s="26">
        <v>4379.08</v>
      </c>
      <c r="H214" s="26">
        <f t="shared" si="418"/>
        <v>5386.06</v>
      </c>
      <c r="I214" s="26">
        <f t="shared" si="419"/>
        <v>6619.42</v>
      </c>
      <c r="J214" s="26"/>
      <c r="N214" s="26">
        <v>3282.39</v>
      </c>
      <c r="O214" s="26">
        <v>3476.23</v>
      </c>
      <c r="P214" s="26">
        <v>3595.59</v>
      </c>
      <c r="Q214" s="26">
        <f t="shared" si="420"/>
        <v>3758.87</v>
      </c>
      <c r="R214" s="35">
        <v>3820.46</v>
      </c>
      <c r="S214" s="35">
        <v>3992.5</v>
      </c>
      <c r="T214" s="35">
        <v>4145.3900000000003</v>
      </c>
      <c r="U214" s="35">
        <f t="shared" si="421"/>
        <v>4379.08</v>
      </c>
      <c r="V214" s="35">
        <v>4569.72</v>
      </c>
      <c r="W214" s="35">
        <v>4853.8599999999997</v>
      </c>
      <c r="X214" s="35">
        <v>5079.97</v>
      </c>
      <c r="Y214" s="35">
        <v>5386.06</v>
      </c>
      <c r="Z214" s="35">
        <v>5555.26</v>
      </c>
      <c r="AA214" s="35">
        <v>5852.94</v>
      </c>
      <c r="AB214" s="35">
        <v>6206.4009999999998</v>
      </c>
      <c r="AC214" s="35">
        <v>6619.42</v>
      </c>
      <c r="AD214" s="69">
        <f t="shared" si="422"/>
        <v>0.22899113637798307</v>
      </c>
      <c r="AE214" s="69">
        <f t="shared" si="423"/>
        <v>6.6547263059541395E-2</v>
      </c>
      <c r="AF214" s="75"/>
      <c r="AG214" s="131"/>
    </row>
    <row r="215" spans="1:34" x14ac:dyDescent="0.35">
      <c r="A215" s="1" t="s">
        <v>104</v>
      </c>
      <c r="B215" s="26">
        <v>126.84</v>
      </c>
      <c r="C215" s="26">
        <v>211.08</v>
      </c>
      <c r="D215" s="26">
        <v>643.71</v>
      </c>
      <c r="E215" s="26">
        <v>1412.91</v>
      </c>
      <c r="F215" s="26">
        <v>1819</v>
      </c>
      <c r="G215" s="26">
        <v>2612.94</v>
      </c>
      <c r="H215" s="26">
        <f>Y215</f>
        <v>3684.43</v>
      </c>
      <c r="I215" s="26">
        <f>AC215</f>
        <v>6019.94</v>
      </c>
      <c r="J215" s="26"/>
      <c r="N215" s="26">
        <v>1415.97</v>
      </c>
      <c r="O215" s="26">
        <v>1522.15</v>
      </c>
      <c r="P215" s="26">
        <v>1694.05</v>
      </c>
      <c r="Q215" s="26">
        <f>F215</f>
        <v>1819</v>
      </c>
      <c r="R215" s="35">
        <v>1917.65</v>
      </c>
      <c r="S215" s="35">
        <v>2107.66</v>
      </c>
      <c r="T215" s="35">
        <v>2342.39</v>
      </c>
      <c r="U215" s="35">
        <f>G215</f>
        <v>2612.94</v>
      </c>
      <c r="V215" s="35">
        <v>2899.71</v>
      </c>
      <c r="W215" s="35">
        <v>3159.08</v>
      </c>
      <c r="X215" s="35">
        <v>3440.8</v>
      </c>
      <c r="Y215" s="35">
        <v>3684.43</v>
      </c>
      <c r="Z215" s="35">
        <v>4140.42</v>
      </c>
      <c r="AA215" s="35">
        <v>4635.62</v>
      </c>
      <c r="AB215" s="35">
        <v>5229.4620000000004</v>
      </c>
      <c r="AC215" s="35">
        <v>6019.94</v>
      </c>
      <c r="AD215" s="69">
        <f>IFERROR(AC215/Y215-1,"")</f>
        <v>0.63388638133985453</v>
      </c>
      <c r="AE215" s="69">
        <f>IFERROR(AC215/AB215-1,"")</f>
        <v>0.15115857042273162</v>
      </c>
      <c r="AF215" s="75"/>
      <c r="AG215" s="131"/>
    </row>
    <row r="216" spans="1:34" x14ac:dyDescent="0.35">
      <c r="A216" s="1" t="s">
        <v>187</v>
      </c>
      <c r="B216" s="26">
        <v>187.41</v>
      </c>
      <c r="C216" s="26">
        <v>276.49</v>
      </c>
      <c r="D216" s="26">
        <v>482.32</v>
      </c>
      <c r="E216" s="26">
        <v>955.51</v>
      </c>
      <c r="F216" s="26">
        <v>1214.29</v>
      </c>
      <c r="G216" s="26">
        <v>2079.9899999999998</v>
      </c>
      <c r="H216" s="26">
        <f>Y216</f>
        <v>3612.9</v>
      </c>
      <c r="I216" s="26">
        <f>AC216</f>
        <v>5882.32</v>
      </c>
      <c r="J216" s="26"/>
      <c r="N216" s="26">
        <v>952.77</v>
      </c>
      <c r="O216" s="26">
        <v>982.69600000000003</v>
      </c>
      <c r="P216" s="26">
        <v>1098.44</v>
      </c>
      <c r="Q216" s="26">
        <f>F216</f>
        <v>1214.29</v>
      </c>
      <c r="R216" s="35">
        <v>1277.47</v>
      </c>
      <c r="S216" s="35">
        <v>1505.93</v>
      </c>
      <c r="T216" s="35">
        <v>1795.25</v>
      </c>
      <c r="U216" s="35">
        <f>G216</f>
        <v>2079.9899999999998</v>
      </c>
      <c r="V216" s="35">
        <v>2418.75</v>
      </c>
      <c r="W216" s="35">
        <v>2769.15</v>
      </c>
      <c r="X216" s="35">
        <v>3177.73</v>
      </c>
      <c r="Y216" s="35">
        <v>3612.9</v>
      </c>
      <c r="Z216" s="35">
        <v>4006.38</v>
      </c>
      <c r="AA216" s="35">
        <v>4480.46</v>
      </c>
      <c r="AB216" s="35">
        <v>5123.62</v>
      </c>
      <c r="AC216" s="35">
        <v>5882.32</v>
      </c>
      <c r="AD216" s="69">
        <f>IFERROR(AC216/Y216-1,"")</f>
        <v>0.62814359655678254</v>
      </c>
      <c r="AE216" s="69">
        <f>IFERROR(AC216/AB216-1,"")</f>
        <v>0.14807889734211366</v>
      </c>
      <c r="AF216" s="75"/>
      <c r="AG216" s="131"/>
    </row>
    <row r="217" spans="1:34" x14ac:dyDescent="0.35">
      <c r="A217" s="1" t="s">
        <v>33</v>
      </c>
      <c r="B217" s="26">
        <v>252.97</v>
      </c>
      <c r="C217" s="26">
        <v>408.47</v>
      </c>
      <c r="D217" s="26">
        <v>931.39</v>
      </c>
      <c r="E217" s="26">
        <v>1793.52</v>
      </c>
      <c r="F217" s="26">
        <v>2266.9299999999998</v>
      </c>
      <c r="G217" s="26">
        <v>3053.61</v>
      </c>
      <c r="H217" s="26">
        <f t="shared" si="418"/>
        <v>4097.59</v>
      </c>
      <c r="I217" s="26">
        <f t="shared" si="419"/>
        <v>5755.29</v>
      </c>
      <c r="J217" s="26"/>
      <c r="N217" s="26">
        <v>1813.29</v>
      </c>
      <c r="O217" s="26">
        <v>1909.15</v>
      </c>
      <c r="P217" s="26">
        <v>2105.52</v>
      </c>
      <c r="Q217" s="26">
        <f t="shared" si="420"/>
        <v>2266.9299999999998</v>
      </c>
      <c r="R217" s="35">
        <v>2292.81</v>
      </c>
      <c r="S217" s="35">
        <v>2552.13</v>
      </c>
      <c r="T217" s="35">
        <v>2847.24</v>
      </c>
      <c r="U217" s="35">
        <f t="shared" si="421"/>
        <v>3053.61</v>
      </c>
      <c r="V217" s="35">
        <v>3378.09</v>
      </c>
      <c r="W217" s="35">
        <v>3681.13</v>
      </c>
      <c r="X217" s="35">
        <v>3928.96</v>
      </c>
      <c r="Y217" s="35">
        <v>4097.59</v>
      </c>
      <c r="Z217" s="35">
        <v>4448.41</v>
      </c>
      <c r="AA217" s="35">
        <v>4829.59</v>
      </c>
      <c r="AB217" s="35">
        <v>5277.9390000000003</v>
      </c>
      <c r="AC217" s="35">
        <v>5755.29</v>
      </c>
      <c r="AD217" s="69">
        <f t="shared" si="422"/>
        <v>0.40455487249822442</v>
      </c>
      <c r="AE217" s="69">
        <f t="shared" si="423"/>
        <v>9.0442689845411151E-2</v>
      </c>
      <c r="AF217" s="75"/>
      <c r="AG217" s="131"/>
    </row>
    <row r="218" spans="1:34" x14ac:dyDescent="0.35">
      <c r="A218" s="1" t="s">
        <v>106</v>
      </c>
      <c r="B218" s="26" t="s">
        <v>107</v>
      </c>
      <c r="C218" s="26">
        <v>10.69</v>
      </c>
      <c r="D218" s="26">
        <v>87.08</v>
      </c>
      <c r="E218" s="26">
        <v>473.72</v>
      </c>
      <c r="F218" s="26">
        <v>793.23</v>
      </c>
      <c r="G218" s="26">
        <v>1737.22</v>
      </c>
      <c r="H218" s="26">
        <f>Y218</f>
        <v>3219.6</v>
      </c>
      <c r="I218" s="26">
        <f>AC218</f>
        <v>4696.3500000000004</v>
      </c>
      <c r="J218" s="26"/>
      <c r="N218" s="26">
        <v>480.32</v>
      </c>
      <c r="O218" s="26">
        <v>533.62</v>
      </c>
      <c r="P218" s="26">
        <v>642.89</v>
      </c>
      <c r="Q218" s="26">
        <f>F218</f>
        <v>793.23</v>
      </c>
      <c r="R218" s="35">
        <v>945.57</v>
      </c>
      <c r="S218" s="35">
        <v>1175.31</v>
      </c>
      <c r="T218" s="35">
        <v>1428.36</v>
      </c>
      <c r="U218" s="35">
        <f>G218</f>
        <v>1737.22</v>
      </c>
      <c r="V218" s="35">
        <v>2078.19</v>
      </c>
      <c r="W218" s="35">
        <v>2438.52</v>
      </c>
      <c r="X218" s="35">
        <v>2829.85</v>
      </c>
      <c r="Y218" s="35">
        <v>3219.6</v>
      </c>
      <c r="Z218" s="35">
        <v>3612.05</v>
      </c>
      <c r="AA218" s="35">
        <v>3940.06</v>
      </c>
      <c r="AB218" s="35">
        <v>4314.7030000000004</v>
      </c>
      <c r="AC218" s="35">
        <v>4696.3500000000004</v>
      </c>
      <c r="AD218" s="69">
        <f>IFERROR(AC218/Y218-1,"")</f>
        <v>0.4586749906820724</v>
      </c>
      <c r="AE218" s="69">
        <f>IFERROR(AC218/AB218-1,"")</f>
        <v>8.8452669859315991E-2</v>
      </c>
      <c r="AF218" s="75"/>
      <c r="AG218" s="131"/>
    </row>
    <row r="219" spans="1:34" x14ac:dyDescent="0.35">
      <c r="A219" s="1" t="s">
        <v>105</v>
      </c>
      <c r="B219" s="26">
        <v>63.94</v>
      </c>
      <c r="C219" s="26">
        <v>132.63</v>
      </c>
      <c r="D219" s="26">
        <v>203.9</v>
      </c>
      <c r="E219" s="26">
        <v>338.05</v>
      </c>
      <c r="F219" s="26">
        <v>478.14</v>
      </c>
      <c r="G219" s="26">
        <v>820.29</v>
      </c>
      <c r="H219" s="26">
        <f t="shared" si="418"/>
        <v>1319.81</v>
      </c>
      <c r="I219" s="26">
        <f t="shared" si="419"/>
        <v>1838.76</v>
      </c>
      <c r="J219" s="26"/>
      <c r="N219" s="26">
        <v>346.87</v>
      </c>
      <c r="O219" s="26">
        <v>372.71</v>
      </c>
      <c r="P219" s="26">
        <v>425.32</v>
      </c>
      <c r="Q219" s="26">
        <f t="shared" si="420"/>
        <v>478.14</v>
      </c>
      <c r="R219" s="35">
        <v>502.81</v>
      </c>
      <c r="S219" s="35">
        <v>576.16</v>
      </c>
      <c r="T219" s="35">
        <v>703.89</v>
      </c>
      <c r="U219" s="35">
        <f t="shared" si="421"/>
        <v>820.29</v>
      </c>
      <c r="V219" s="35">
        <v>935.54</v>
      </c>
      <c r="W219" s="35">
        <v>1044.9000000000001</v>
      </c>
      <c r="X219" s="35">
        <v>1180.71</v>
      </c>
      <c r="Y219" s="35">
        <v>1319.81</v>
      </c>
      <c r="Z219" s="35">
        <v>1461.32</v>
      </c>
      <c r="AA219" s="35">
        <v>1585.85</v>
      </c>
      <c r="AB219" s="35">
        <v>1676.133</v>
      </c>
      <c r="AC219" s="35">
        <v>1838.76</v>
      </c>
      <c r="AD219" s="69">
        <f t="shared" si="422"/>
        <v>0.39320053644085129</v>
      </c>
      <c r="AE219" s="69">
        <f t="shared" si="423"/>
        <v>9.7025116741929152E-2</v>
      </c>
      <c r="AF219" s="75"/>
      <c r="AG219" s="131"/>
    </row>
    <row r="220" spans="1:34" s="2" customFormat="1" x14ac:dyDescent="0.35">
      <c r="A220" s="1" t="s">
        <v>188</v>
      </c>
      <c r="B220" s="26">
        <v>288.33999999999997</v>
      </c>
      <c r="C220" s="26">
        <v>273.37</v>
      </c>
      <c r="D220" s="26">
        <v>326.3</v>
      </c>
      <c r="E220" s="26">
        <v>381.02</v>
      </c>
      <c r="F220" s="26">
        <v>408.92</v>
      </c>
      <c r="G220" s="26">
        <v>465.41</v>
      </c>
      <c r="H220" s="26">
        <f t="shared" si="418"/>
        <v>587.04999999999995</v>
      </c>
      <c r="I220" s="26">
        <f t="shared" si="419"/>
        <v>821.17</v>
      </c>
      <c r="J220" s="26"/>
      <c r="K220" s="1"/>
      <c r="L220" s="1"/>
      <c r="M220" s="1"/>
      <c r="N220" s="26">
        <v>373.31</v>
      </c>
      <c r="O220" s="26">
        <v>376.82</v>
      </c>
      <c r="P220" s="26">
        <v>399.82</v>
      </c>
      <c r="Q220" s="26">
        <f t="shared" si="420"/>
        <v>408.92</v>
      </c>
      <c r="R220" s="35">
        <v>407.25</v>
      </c>
      <c r="S220" s="35">
        <v>424.53</v>
      </c>
      <c r="T220" s="35">
        <v>444.17</v>
      </c>
      <c r="U220" s="35">
        <f t="shared" si="421"/>
        <v>465.41</v>
      </c>
      <c r="V220" s="35">
        <v>488.9</v>
      </c>
      <c r="W220" s="35">
        <v>528.46</v>
      </c>
      <c r="X220" s="35">
        <v>558.99</v>
      </c>
      <c r="Y220" s="35">
        <v>587.04999999999995</v>
      </c>
      <c r="Z220" s="35">
        <v>601.87</v>
      </c>
      <c r="AA220" s="35">
        <v>664.17</v>
      </c>
      <c r="AB220" s="35">
        <v>732.52300000000002</v>
      </c>
      <c r="AC220" s="35">
        <v>821.17</v>
      </c>
      <c r="AD220" s="69">
        <f t="shared" si="422"/>
        <v>0.39880759730857673</v>
      </c>
      <c r="AE220" s="69">
        <f t="shared" si="423"/>
        <v>0.1210159954021921</v>
      </c>
      <c r="AF220" s="75"/>
      <c r="AG220" s="131"/>
    </row>
    <row r="221" spans="1:34" x14ac:dyDescent="0.35">
      <c r="A221" s="2" t="s">
        <v>35</v>
      </c>
      <c r="B221" s="4">
        <f t="shared" ref="B221:I221" si="424">SUM(B210:B220)</f>
        <v>8473.16</v>
      </c>
      <c r="C221" s="4">
        <f t="shared" si="424"/>
        <v>13559.32</v>
      </c>
      <c r="D221" s="4">
        <f t="shared" si="424"/>
        <v>24435.74</v>
      </c>
      <c r="E221" s="4">
        <f t="shared" si="424"/>
        <v>36183.599999999991</v>
      </c>
      <c r="F221" s="4">
        <f t="shared" si="424"/>
        <v>41410.720000000001</v>
      </c>
      <c r="G221" s="4">
        <f t="shared" si="424"/>
        <v>53803.350000000006</v>
      </c>
      <c r="H221" s="4">
        <f t="shared" si="424"/>
        <v>71979.680000000008</v>
      </c>
      <c r="I221" s="4">
        <f t="shared" si="424"/>
        <v>96978.33</v>
      </c>
      <c r="J221" s="4"/>
      <c r="K221" s="2"/>
      <c r="L221" s="2"/>
      <c r="M221" s="2"/>
      <c r="N221" s="4">
        <f t="shared" ref="N221:AC221" si="425">SUM(N210:N220)</f>
        <v>36225.129999999997</v>
      </c>
      <c r="O221" s="4">
        <f t="shared" si="425"/>
        <v>37300.116000000002</v>
      </c>
      <c r="P221" s="4">
        <f t="shared" si="425"/>
        <v>39406.47</v>
      </c>
      <c r="Q221" s="4">
        <f t="shared" si="425"/>
        <v>41410.720000000001</v>
      </c>
      <c r="R221" s="4">
        <f t="shared" si="425"/>
        <v>42942.68</v>
      </c>
      <c r="S221" s="4">
        <f t="shared" si="425"/>
        <v>46170.26999999999</v>
      </c>
      <c r="T221" s="4">
        <f t="shared" si="425"/>
        <v>49940.479999999989</v>
      </c>
      <c r="U221" s="4">
        <f t="shared" si="425"/>
        <v>53803.350000000006</v>
      </c>
      <c r="V221" s="4">
        <f t="shared" si="425"/>
        <v>58318.83</v>
      </c>
      <c r="W221" s="4">
        <f t="shared" si="425"/>
        <v>62754.37</v>
      </c>
      <c r="X221" s="4">
        <f t="shared" si="425"/>
        <v>67511.780000000028</v>
      </c>
      <c r="Y221" s="4">
        <f t="shared" si="425"/>
        <v>71979.680000000008</v>
      </c>
      <c r="Z221" s="4">
        <f t="shared" si="425"/>
        <v>77758.920000000013</v>
      </c>
      <c r="AA221" s="4">
        <f t="shared" si="425"/>
        <v>83654.450000000012</v>
      </c>
      <c r="AB221" s="4">
        <f t="shared" si="425"/>
        <v>90137.442999999985</v>
      </c>
      <c r="AC221" s="4">
        <f t="shared" si="425"/>
        <v>96978.33</v>
      </c>
      <c r="AD221" s="71">
        <f t="shared" si="422"/>
        <v>0.34730148842006514</v>
      </c>
      <c r="AE221" s="71">
        <f t="shared" si="423"/>
        <v>7.5893954524536733E-2</v>
      </c>
      <c r="AF221" s="76"/>
      <c r="AG221" s="119"/>
    </row>
    <row r="223" spans="1:34" x14ac:dyDescent="0.35">
      <c r="A223" s="1" t="s">
        <v>63</v>
      </c>
      <c r="B223" s="11">
        <f t="shared" ref="B223:I230" si="426">B210/B$221</f>
        <v>0.3304434237049696</v>
      </c>
      <c r="C223" s="11">
        <f t="shared" si="426"/>
        <v>0.38040181956027291</v>
      </c>
      <c r="D223" s="11">
        <f t="shared" si="426"/>
        <v>0.40759395868510634</v>
      </c>
      <c r="E223" s="11">
        <f t="shared" si="426"/>
        <v>0.39728081230170581</v>
      </c>
      <c r="F223" s="11">
        <f t="shared" si="426"/>
        <v>0.38212955485922484</v>
      </c>
      <c r="G223" s="11">
        <f t="shared" si="426"/>
        <v>0.3602002477540896</v>
      </c>
      <c r="H223" s="11">
        <f t="shared" si="426"/>
        <v>0.32553965230187187</v>
      </c>
      <c r="I223" s="11">
        <f t="shared" si="426"/>
        <v>0.31221376981847387</v>
      </c>
      <c r="J223" s="11"/>
      <c r="N223" s="11">
        <f t="shared" ref="N223:AC223" si="427">N210/N$221</f>
        <v>0.39583929719506877</v>
      </c>
      <c r="O223" s="11">
        <f t="shared" si="427"/>
        <v>0.38980522205346491</v>
      </c>
      <c r="P223" s="11">
        <f t="shared" si="427"/>
        <v>0.38939671581849378</v>
      </c>
      <c r="Q223" s="11">
        <f t="shared" si="427"/>
        <v>0.38212955485922484</v>
      </c>
      <c r="R223" s="11">
        <f t="shared" si="427"/>
        <v>0.38160310441733031</v>
      </c>
      <c r="S223" s="11">
        <f t="shared" si="427"/>
        <v>0.37518537361813142</v>
      </c>
      <c r="T223" s="11">
        <f t="shared" si="427"/>
        <v>0.36990994079352069</v>
      </c>
      <c r="U223" s="11">
        <f t="shared" si="427"/>
        <v>0.3602002477540896</v>
      </c>
      <c r="V223" s="11">
        <f t="shared" si="427"/>
        <v>0.35003291389762103</v>
      </c>
      <c r="W223" s="11">
        <f t="shared" si="427"/>
        <v>0.33959340202124572</v>
      </c>
      <c r="X223" s="11">
        <f t="shared" si="427"/>
        <v>0.33186045457548285</v>
      </c>
      <c r="Y223" s="11">
        <f t="shared" si="427"/>
        <v>0.32553965230187187</v>
      </c>
      <c r="Z223" s="11">
        <f t="shared" si="427"/>
        <v>0.32606998656874342</v>
      </c>
      <c r="AA223" s="11">
        <f t="shared" si="427"/>
        <v>0.32300636726438336</v>
      </c>
      <c r="AB223" s="11">
        <f t="shared" si="427"/>
        <v>0.31971836609565246</v>
      </c>
      <c r="AC223" s="11">
        <f t="shared" si="427"/>
        <v>0.31221376981847387</v>
      </c>
      <c r="AG223" s="116"/>
      <c r="AH223" s="112"/>
    </row>
    <row r="224" spans="1:34" x14ac:dyDescent="0.35">
      <c r="A224" s="1" t="s">
        <v>65</v>
      </c>
      <c r="B224" s="11">
        <f t="shared" si="426"/>
        <v>9.4868974503018955E-2</v>
      </c>
      <c r="C224" s="11">
        <f t="shared" si="426"/>
        <v>8.6708625506293824E-2</v>
      </c>
      <c r="D224" s="11">
        <f t="shared" si="426"/>
        <v>8.5420781199996396E-2</v>
      </c>
      <c r="E224" s="11">
        <f t="shared" si="426"/>
        <v>9.9368774804054899E-2</v>
      </c>
      <c r="F224" s="11">
        <f t="shared" si="426"/>
        <v>0.11141028216848198</v>
      </c>
      <c r="G224" s="11">
        <f t="shared" si="426"/>
        <v>0.12219220550393237</v>
      </c>
      <c r="H224" s="11">
        <f t="shared" si="426"/>
        <v>0.13725943210639444</v>
      </c>
      <c r="I224" s="11">
        <f t="shared" si="426"/>
        <v>0.13970327185465042</v>
      </c>
      <c r="J224" s="11"/>
      <c r="N224" s="11">
        <f t="shared" ref="N224:AC224" si="428">N211/N$221</f>
        <v>0.10083083207706917</v>
      </c>
      <c r="O224" s="11">
        <f t="shared" si="428"/>
        <v>0.10503908352456597</v>
      </c>
      <c r="P224" s="11">
        <f t="shared" si="428"/>
        <v>0.10771759053779748</v>
      </c>
      <c r="Q224" s="11">
        <f t="shared" si="428"/>
        <v>0.11141028216848198</v>
      </c>
      <c r="R224" s="11">
        <f t="shared" si="428"/>
        <v>0.11420735734239222</v>
      </c>
      <c r="S224" s="11">
        <f t="shared" si="428"/>
        <v>0.11809655867292961</v>
      </c>
      <c r="T224" s="11">
        <f t="shared" si="428"/>
        <v>0.1200264795212221</v>
      </c>
      <c r="U224" s="11">
        <f t="shared" si="428"/>
        <v>0.12219220550393237</v>
      </c>
      <c r="V224" s="11">
        <f t="shared" si="428"/>
        <v>0.12602824850910074</v>
      </c>
      <c r="W224" s="11">
        <f t="shared" si="428"/>
        <v>0.13068667568489653</v>
      </c>
      <c r="X224" s="11">
        <f t="shared" si="428"/>
        <v>0.13472433995963365</v>
      </c>
      <c r="Y224" s="11">
        <f t="shared" si="428"/>
        <v>0.13725943210639444</v>
      </c>
      <c r="Z224" s="11">
        <f t="shared" si="428"/>
        <v>0.13855169284758581</v>
      </c>
      <c r="AA224" s="11">
        <f t="shared" si="428"/>
        <v>0.14042755645396029</v>
      </c>
      <c r="AB224" s="11">
        <f t="shared" si="428"/>
        <v>0.14043034258249373</v>
      </c>
      <c r="AC224" s="11">
        <f t="shared" si="428"/>
        <v>0.13970327185465042</v>
      </c>
      <c r="AG224" s="116"/>
      <c r="AH224" s="112"/>
    </row>
    <row r="225" spans="1:35" x14ac:dyDescent="0.35">
      <c r="A225" s="1" t="s">
        <v>64</v>
      </c>
      <c r="B225" s="11">
        <f t="shared" si="426"/>
        <v>0.36562982405619626</v>
      </c>
      <c r="C225" s="11">
        <f t="shared" si="426"/>
        <v>0.35582905337435805</v>
      </c>
      <c r="D225" s="11">
        <f t="shared" si="426"/>
        <v>0.28415304795353036</v>
      </c>
      <c r="E225" s="11">
        <f t="shared" si="426"/>
        <v>0.21687394289125464</v>
      </c>
      <c r="F225" s="11">
        <f t="shared" si="426"/>
        <v>0.19230600192413944</v>
      </c>
      <c r="G225" s="11">
        <f t="shared" si="426"/>
        <v>0.16111375964507782</v>
      </c>
      <c r="H225" s="11">
        <f t="shared" si="426"/>
        <v>0.14406690888317367</v>
      </c>
      <c r="I225" s="11">
        <f t="shared" si="426"/>
        <v>0.13312541059430494</v>
      </c>
      <c r="J225" s="11"/>
      <c r="N225" s="11">
        <f t="shared" ref="N225:AC225" si="429">N212/N$221</f>
        <v>0.21495630243424937</v>
      </c>
      <c r="O225" s="11">
        <f t="shared" si="429"/>
        <v>0.20895940377236361</v>
      </c>
      <c r="P225" s="11">
        <f t="shared" si="429"/>
        <v>0.19980094639281315</v>
      </c>
      <c r="Q225" s="11">
        <f t="shared" si="429"/>
        <v>0.19230600192413944</v>
      </c>
      <c r="R225" s="11">
        <f t="shared" si="429"/>
        <v>0.18669840820367989</v>
      </c>
      <c r="S225" s="11">
        <f t="shared" si="429"/>
        <v>0.17685774850352839</v>
      </c>
      <c r="T225" s="11">
        <f t="shared" si="429"/>
        <v>0.1674357154757023</v>
      </c>
      <c r="U225" s="11">
        <f t="shared" si="429"/>
        <v>0.16111375964507782</v>
      </c>
      <c r="V225" s="11">
        <f t="shared" si="429"/>
        <v>0.15681916115258143</v>
      </c>
      <c r="W225" s="11">
        <f t="shared" si="429"/>
        <v>0.15183580043907699</v>
      </c>
      <c r="X225" s="11">
        <f t="shared" si="429"/>
        <v>0.14803564651976286</v>
      </c>
      <c r="Y225" s="11">
        <f t="shared" si="429"/>
        <v>0.14406690888317367</v>
      </c>
      <c r="Z225" s="11">
        <f t="shared" si="429"/>
        <v>0.13974628248437604</v>
      </c>
      <c r="AA225" s="11">
        <f t="shared" si="429"/>
        <v>0.13598858159966382</v>
      </c>
      <c r="AB225" s="11">
        <f t="shared" si="429"/>
        <v>0.13363271243449854</v>
      </c>
      <c r="AC225" s="11">
        <f t="shared" si="429"/>
        <v>0.13312541059430494</v>
      </c>
      <c r="AG225" s="116"/>
      <c r="AH225" s="112"/>
    </row>
    <row r="226" spans="1:35" x14ac:dyDescent="0.35">
      <c r="A226" s="1" t="s">
        <v>32</v>
      </c>
      <c r="B226" s="11">
        <f t="shared" si="426"/>
        <v>1.0522638543353365E-2</v>
      </c>
      <c r="C226" s="11">
        <f t="shared" si="426"/>
        <v>1.0080889012133352E-2</v>
      </c>
      <c r="D226" s="11">
        <f t="shared" si="426"/>
        <v>3.1357347884696761E-2</v>
      </c>
      <c r="E226" s="11">
        <f t="shared" si="426"/>
        <v>4.8588310726406445E-2</v>
      </c>
      <c r="F226" s="11">
        <f t="shared" si="426"/>
        <v>5.4815999335437772E-2</v>
      </c>
      <c r="G226" s="11">
        <f t="shared" si="426"/>
        <v>7.4939943330666212E-2</v>
      </c>
      <c r="H226" s="11">
        <f t="shared" si="426"/>
        <v>8.8778110711245167E-2</v>
      </c>
      <c r="I226" s="11">
        <f t="shared" si="426"/>
        <v>8.8768697089339432E-2</v>
      </c>
      <c r="J226" s="11"/>
      <c r="N226" s="11">
        <f t="shared" ref="N226:AC226" si="430">N213/N$221</f>
        <v>4.9177187217823652E-2</v>
      </c>
      <c r="O226" s="11">
        <f t="shared" si="430"/>
        <v>5.0262042080512562E-2</v>
      </c>
      <c r="P226" s="11">
        <f t="shared" si="430"/>
        <v>5.0293010259482768E-2</v>
      </c>
      <c r="Q226" s="11">
        <f t="shared" si="430"/>
        <v>5.4815999335437772E-2</v>
      </c>
      <c r="R226" s="11">
        <f t="shared" si="430"/>
        <v>5.7516205323002667E-2</v>
      </c>
      <c r="S226" s="11">
        <f t="shared" si="430"/>
        <v>6.2713949907592062E-2</v>
      </c>
      <c r="T226" s="11">
        <f t="shared" si="430"/>
        <v>6.8167346409165483E-2</v>
      </c>
      <c r="U226" s="11">
        <f t="shared" si="430"/>
        <v>7.4939943330666212E-2</v>
      </c>
      <c r="V226" s="11">
        <f t="shared" si="430"/>
        <v>7.9581329049296767E-2</v>
      </c>
      <c r="W226" s="11">
        <f t="shared" si="430"/>
        <v>8.3480720147457457E-2</v>
      </c>
      <c r="X226" s="11">
        <f t="shared" si="430"/>
        <v>8.6216805422698037E-2</v>
      </c>
      <c r="Y226" s="11">
        <f t="shared" si="430"/>
        <v>8.8778110711245167E-2</v>
      </c>
      <c r="Z226" s="11">
        <f t="shared" si="430"/>
        <v>8.9227190912630969E-2</v>
      </c>
      <c r="AA226" s="11">
        <f t="shared" si="430"/>
        <v>8.991033949777924E-2</v>
      </c>
      <c r="AB226" s="11">
        <f t="shared" si="430"/>
        <v>8.9360455898443908E-2</v>
      </c>
      <c r="AC226" s="11">
        <f t="shared" si="430"/>
        <v>8.8768697089339432E-2</v>
      </c>
      <c r="AG226" s="116"/>
      <c r="AH226" s="112"/>
    </row>
    <row r="227" spans="1:35" x14ac:dyDescent="0.35">
      <c r="A227" s="1" t="s">
        <v>31</v>
      </c>
      <c r="B227" s="11">
        <f t="shared" si="426"/>
        <v>9.0016003474500658E-2</v>
      </c>
      <c r="C227" s="11">
        <f t="shared" si="426"/>
        <v>7.0165760524864076E-2</v>
      </c>
      <c r="D227" s="11">
        <f t="shared" si="426"/>
        <v>8.2016341637290296E-2</v>
      </c>
      <c r="E227" s="11">
        <f t="shared" si="426"/>
        <v>8.9900396864878038E-2</v>
      </c>
      <c r="F227" s="11">
        <f t="shared" si="426"/>
        <v>9.0770457504723415E-2</v>
      </c>
      <c r="G227" s="11">
        <f t="shared" si="426"/>
        <v>8.1390471039442705E-2</v>
      </c>
      <c r="H227" s="11">
        <f t="shared" si="426"/>
        <v>7.4827506874162258E-2</v>
      </c>
      <c r="I227" s="11">
        <f t="shared" si="426"/>
        <v>6.8256691984693904E-2</v>
      </c>
      <c r="J227" s="11"/>
      <c r="N227" s="11">
        <f t="shared" ref="N227:AC227" si="431">N214/N$221</f>
        <v>9.061085495069307E-2</v>
      </c>
      <c r="O227" s="11">
        <f t="shared" si="431"/>
        <v>9.3196224912544506E-2</v>
      </c>
      <c r="P227" s="11">
        <f t="shared" si="431"/>
        <v>9.1243646030715261E-2</v>
      </c>
      <c r="Q227" s="11">
        <f t="shared" si="431"/>
        <v>9.0770457504723415E-2</v>
      </c>
      <c r="R227" s="11">
        <f t="shared" si="431"/>
        <v>8.896650139208824E-2</v>
      </c>
      <c r="S227" s="11">
        <f t="shared" si="431"/>
        <v>8.6473395109017137E-2</v>
      </c>
      <c r="T227" s="11">
        <f t="shared" si="431"/>
        <v>8.3006611069817535E-2</v>
      </c>
      <c r="U227" s="11">
        <f t="shared" si="431"/>
        <v>8.1390471039442705E-2</v>
      </c>
      <c r="V227" s="11">
        <f t="shared" si="431"/>
        <v>7.8357539065855741E-2</v>
      </c>
      <c r="W227" s="11">
        <f t="shared" si="431"/>
        <v>7.7346964044097632E-2</v>
      </c>
      <c r="X227" s="11">
        <f t="shared" si="431"/>
        <v>7.5245683049684042E-2</v>
      </c>
      <c r="Y227" s="11">
        <f t="shared" si="431"/>
        <v>7.4827506874162258E-2</v>
      </c>
      <c r="Z227" s="11">
        <f t="shared" si="431"/>
        <v>7.1442093074337965E-2</v>
      </c>
      <c r="AA227" s="11">
        <f t="shared" si="431"/>
        <v>6.9965674270765013E-2</v>
      </c>
      <c r="AB227" s="11">
        <f t="shared" si="431"/>
        <v>6.885485979450294E-2</v>
      </c>
      <c r="AC227" s="11">
        <f t="shared" si="431"/>
        <v>6.8256691984693904E-2</v>
      </c>
      <c r="AG227" s="116"/>
      <c r="AH227" s="112"/>
    </row>
    <row r="228" spans="1:35" x14ac:dyDescent="0.35">
      <c r="A228" s="1" t="s">
        <v>104</v>
      </c>
      <c r="B228" s="11">
        <f t="shared" si="426"/>
        <v>1.4969621723182379E-2</v>
      </c>
      <c r="C228" s="11">
        <f t="shared" si="426"/>
        <v>1.5567152335072852E-2</v>
      </c>
      <c r="D228" s="11">
        <f t="shared" si="426"/>
        <v>2.6342971401725507E-2</v>
      </c>
      <c r="E228" s="11">
        <f t="shared" si="426"/>
        <v>3.9048353397671882E-2</v>
      </c>
      <c r="F228" s="11">
        <f t="shared" si="426"/>
        <v>4.3925824037833683E-2</v>
      </c>
      <c r="G228" s="11">
        <f t="shared" si="426"/>
        <v>4.8564633986545445E-2</v>
      </c>
      <c r="H228" s="11">
        <f t="shared" si="426"/>
        <v>5.1187085021772806E-2</v>
      </c>
      <c r="I228" s="11">
        <f t="shared" si="426"/>
        <v>6.2075104819808706E-2</v>
      </c>
      <c r="J228" s="11"/>
      <c r="N228" s="11">
        <f t="shared" ref="N228:AC228" si="432">N215/N$221</f>
        <v>3.9088058483157967E-2</v>
      </c>
      <c r="O228" s="11">
        <f t="shared" si="432"/>
        <v>4.0808184081786769E-2</v>
      </c>
      <c r="P228" s="11">
        <f t="shared" si="432"/>
        <v>4.2989133510309342E-2</v>
      </c>
      <c r="Q228" s="11">
        <f t="shared" si="432"/>
        <v>4.3925824037833683E-2</v>
      </c>
      <c r="R228" s="11">
        <f t="shared" si="432"/>
        <v>4.4656039166628636E-2</v>
      </c>
      <c r="S228" s="11">
        <f t="shared" si="432"/>
        <v>4.564972221301717E-2</v>
      </c>
      <c r="T228" s="11">
        <f t="shared" si="432"/>
        <v>4.6903634086015999E-2</v>
      </c>
      <c r="U228" s="11">
        <f t="shared" si="432"/>
        <v>4.8564633986545445E-2</v>
      </c>
      <c r="V228" s="11">
        <f t="shared" si="432"/>
        <v>4.9721676515115269E-2</v>
      </c>
      <c r="W228" s="11">
        <f t="shared" si="432"/>
        <v>5.0340398604909901E-2</v>
      </c>
      <c r="X228" s="11">
        <f t="shared" si="432"/>
        <v>5.0965920317905984E-2</v>
      </c>
      <c r="Y228" s="11">
        <f t="shared" si="432"/>
        <v>5.1187085021772806E-2</v>
      </c>
      <c r="Z228" s="11">
        <f t="shared" si="432"/>
        <v>5.3246881515329678E-2</v>
      </c>
      <c r="AA228" s="11">
        <f t="shared" si="432"/>
        <v>5.5413908046732713E-2</v>
      </c>
      <c r="AB228" s="11">
        <f t="shared" si="432"/>
        <v>5.8016533706198005E-2</v>
      </c>
      <c r="AC228" s="11">
        <f t="shared" si="432"/>
        <v>6.2075104819808706E-2</v>
      </c>
      <c r="AG228" s="116"/>
      <c r="AH228" s="112"/>
    </row>
    <row r="229" spans="1:35" x14ac:dyDescent="0.35">
      <c r="A229" s="1" t="s">
        <v>187</v>
      </c>
      <c r="B229" s="11">
        <f t="shared" si="426"/>
        <v>2.2118076372923443E-2</v>
      </c>
      <c r="C229" s="11">
        <f t="shared" si="426"/>
        <v>2.0391140558671084E-2</v>
      </c>
      <c r="D229" s="11">
        <f t="shared" si="426"/>
        <v>1.9738301356946829E-2</v>
      </c>
      <c r="E229" s="11">
        <f t="shared" si="426"/>
        <v>2.640726738080236E-2</v>
      </c>
      <c r="F229" s="11">
        <f t="shared" si="426"/>
        <v>2.9323083491424443E-2</v>
      </c>
      <c r="G229" s="11">
        <f t="shared" si="426"/>
        <v>3.8659116950896175E-2</v>
      </c>
      <c r="H229" s="11">
        <f t="shared" si="426"/>
        <v>5.0193332340460528E-2</v>
      </c>
      <c r="I229" s="11">
        <f t="shared" si="426"/>
        <v>6.06560249078325E-2</v>
      </c>
      <c r="J229" s="11"/>
      <c r="N229" s="11">
        <f t="shared" ref="N229:AC229" si="433">N216/N$221</f>
        <v>2.6301354888167414E-2</v>
      </c>
      <c r="O229" s="11">
        <f t="shared" si="433"/>
        <v>2.634565533254642E-2</v>
      </c>
      <c r="P229" s="11">
        <f t="shared" si="433"/>
        <v>2.7874610438336649E-2</v>
      </c>
      <c r="Q229" s="11">
        <f t="shared" si="433"/>
        <v>2.9323083491424443E-2</v>
      </c>
      <c r="R229" s="11">
        <f t="shared" si="433"/>
        <v>2.9748259773260542E-2</v>
      </c>
      <c r="S229" s="11">
        <f t="shared" si="433"/>
        <v>3.2616876617788899E-2</v>
      </c>
      <c r="T229" s="11">
        <f t="shared" si="433"/>
        <v>3.5947792251896662E-2</v>
      </c>
      <c r="U229" s="11">
        <f t="shared" si="433"/>
        <v>3.8659116950896175E-2</v>
      </c>
      <c r="V229" s="11">
        <f t="shared" si="433"/>
        <v>4.1474597484208786E-2</v>
      </c>
      <c r="W229" s="11">
        <f t="shared" si="433"/>
        <v>4.4126807423929201E-2</v>
      </c>
      <c r="X229" s="11">
        <f t="shared" si="433"/>
        <v>4.7069267022732904E-2</v>
      </c>
      <c r="Y229" s="11">
        <f t="shared" si="433"/>
        <v>5.0193332340460528E-2</v>
      </c>
      <c r="Z229" s="11">
        <f t="shared" si="433"/>
        <v>5.1523092141711836E-2</v>
      </c>
      <c r="AA229" s="11">
        <f t="shared" si="433"/>
        <v>5.3559135228311218E-2</v>
      </c>
      <c r="AB229" s="11">
        <f t="shared" si="433"/>
        <v>5.6842304701277144E-2</v>
      </c>
      <c r="AC229" s="11">
        <f t="shared" si="433"/>
        <v>6.06560249078325E-2</v>
      </c>
      <c r="AG229" s="116"/>
      <c r="AH229" s="112"/>
    </row>
    <row r="230" spans="1:35" x14ac:dyDescent="0.35">
      <c r="A230" s="1" t="s">
        <v>33</v>
      </c>
      <c r="B230" s="11">
        <f t="shared" si="426"/>
        <v>2.9855449442710867E-2</v>
      </c>
      <c r="C230" s="11">
        <f t="shared" si="426"/>
        <v>3.0124667018700056E-2</v>
      </c>
      <c r="D230" s="11">
        <f t="shared" si="426"/>
        <v>3.8115890904061013E-2</v>
      </c>
      <c r="E230" s="11">
        <f t="shared" si="426"/>
        <v>4.95672072430604E-2</v>
      </c>
      <c r="F230" s="11">
        <f t="shared" si="426"/>
        <v>5.4742588392570804E-2</v>
      </c>
      <c r="G230" s="11">
        <f t="shared" si="426"/>
        <v>5.6755016183936496E-2</v>
      </c>
      <c r="H230" s="11">
        <f t="shared" si="426"/>
        <v>5.6927038297475065E-2</v>
      </c>
      <c r="I230" s="11">
        <f t="shared" si="426"/>
        <v>5.9346144649015921E-2</v>
      </c>
      <c r="J230" s="11"/>
      <c r="N230" s="11">
        <f t="shared" ref="N230:AC230" si="434">N217/N$221</f>
        <v>5.00561350642496E-2</v>
      </c>
      <c r="O230" s="11">
        <f t="shared" si="434"/>
        <v>5.1183486936072796E-2</v>
      </c>
      <c r="P230" s="11">
        <f t="shared" si="434"/>
        <v>5.3430819862829632E-2</v>
      </c>
      <c r="Q230" s="11">
        <f t="shared" si="434"/>
        <v>5.4742588392570804E-2</v>
      </c>
      <c r="R230" s="11">
        <f t="shared" si="434"/>
        <v>5.3392336016289621E-2</v>
      </c>
      <c r="S230" s="11">
        <f t="shared" si="434"/>
        <v>5.5276479864640182E-2</v>
      </c>
      <c r="T230" s="11">
        <f t="shared" si="434"/>
        <v>5.7012667879844173E-2</v>
      </c>
      <c r="U230" s="11">
        <f t="shared" si="434"/>
        <v>5.6755016183936496E-2</v>
      </c>
      <c r="V230" s="11">
        <f t="shared" si="434"/>
        <v>5.7924515975371932E-2</v>
      </c>
      <c r="W230" s="11">
        <f t="shared" si="434"/>
        <v>5.8659341174168426E-2</v>
      </c>
      <c r="X230" s="11">
        <f t="shared" si="434"/>
        <v>5.8196658420204571E-2</v>
      </c>
      <c r="Y230" s="11">
        <f t="shared" si="434"/>
        <v>5.6927038297475065E-2</v>
      </c>
      <c r="Z230" s="11">
        <f t="shared" si="434"/>
        <v>5.7207713275853098E-2</v>
      </c>
      <c r="AA230" s="11">
        <f t="shared" si="434"/>
        <v>5.7732613148493588E-2</v>
      </c>
      <c r="AB230" s="11">
        <f t="shared" si="434"/>
        <v>5.8554345722897874E-2</v>
      </c>
      <c r="AC230" s="11">
        <f t="shared" si="434"/>
        <v>5.9346144649015921E-2</v>
      </c>
      <c r="AG230" s="116"/>
      <c r="AH230" s="112"/>
    </row>
    <row r="231" spans="1:35" x14ac:dyDescent="0.35">
      <c r="A231" s="1" t="s">
        <v>106</v>
      </c>
      <c r="B231" s="11"/>
      <c r="C231" s="11">
        <f t="shared" ref="C231:I233" si="435">C218/C$221</f>
        <v>7.8838761825814269E-4</v>
      </c>
      <c r="D231" s="11">
        <f t="shared" si="435"/>
        <v>3.5636326135406577E-3</v>
      </c>
      <c r="E231" s="11">
        <f t="shared" si="435"/>
        <v>1.3092119081572871E-2</v>
      </c>
      <c r="F231" s="11">
        <f t="shared" si="435"/>
        <v>1.9155184937620019E-2</v>
      </c>
      <c r="G231" s="11">
        <f t="shared" si="435"/>
        <v>3.2288324054171348E-2</v>
      </c>
      <c r="H231" s="11">
        <f t="shared" si="435"/>
        <v>4.4729290266364054E-2</v>
      </c>
      <c r="I231" s="11">
        <f t="shared" si="435"/>
        <v>4.8426798027971819E-2</v>
      </c>
      <c r="J231" s="11"/>
      <c r="N231" s="11">
        <f t="shared" ref="N231:AC231" si="436">N218/N$221</f>
        <v>1.325930369332008E-2</v>
      </c>
      <c r="O231" s="11">
        <f t="shared" si="436"/>
        <v>1.4306121728951191E-2</v>
      </c>
      <c r="P231" s="11">
        <f t="shared" si="436"/>
        <v>1.6314326048488991E-2</v>
      </c>
      <c r="Q231" s="11">
        <f t="shared" si="436"/>
        <v>1.9155184937620019E-2</v>
      </c>
      <c r="R231" s="11">
        <f t="shared" si="436"/>
        <v>2.2019352308705466E-2</v>
      </c>
      <c r="S231" s="11">
        <f t="shared" si="436"/>
        <v>2.5455991485429916E-2</v>
      </c>
      <c r="T231" s="11">
        <f t="shared" si="436"/>
        <v>2.8601246924338738E-2</v>
      </c>
      <c r="U231" s="11">
        <f t="shared" si="436"/>
        <v>3.2288324054171348E-2</v>
      </c>
      <c r="V231" s="11">
        <f t="shared" si="436"/>
        <v>3.5634974158432191E-2</v>
      </c>
      <c r="W231" s="11">
        <f t="shared" si="436"/>
        <v>3.8858170355307524E-2</v>
      </c>
      <c r="X231" s="11">
        <f t="shared" si="436"/>
        <v>4.1916388517677934E-2</v>
      </c>
      <c r="Y231" s="11">
        <f t="shared" si="436"/>
        <v>4.4729290266364054E-2</v>
      </c>
      <c r="Z231" s="11">
        <f t="shared" si="436"/>
        <v>4.6451905453419359E-2</v>
      </c>
      <c r="AA231" s="11">
        <f t="shared" si="436"/>
        <v>4.7099227835458835E-2</v>
      </c>
      <c r="AB231" s="11">
        <f t="shared" si="436"/>
        <v>4.786804302846711E-2</v>
      </c>
      <c r="AC231" s="11">
        <f t="shared" si="436"/>
        <v>4.8426798027971819E-2</v>
      </c>
      <c r="AG231" s="116"/>
      <c r="AH231" s="112"/>
    </row>
    <row r="232" spans="1:35" x14ac:dyDescent="0.35">
      <c r="A232" s="1" t="s">
        <v>105</v>
      </c>
      <c r="B232" s="11">
        <f>B219/B$221</f>
        <v>7.5461811177884048E-3</v>
      </c>
      <c r="C232" s="11">
        <f t="shared" si="435"/>
        <v>9.781463967219595E-3</v>
      </c>
      <c r="D232" s="11">
        <f t="shared" si="435"/>
        <v>8.3443349781917794E-3</v>
      </c>
      <c r="E232" s="11">
        <f t="shared" si="435"/>
        <v>9.3426303629268528E-3</v>
      </c>
      <c r="F232" s="11">
        <f t="shared" si="435"/>
        <v>1.1546285599477622E-2</v>
      </c>
      <c r="G232" s="11">
        <f t="shared" si="435"/>
        <v>1.5246076684816092E-2</v>
      </c>
      <c r="H232" s="11">
        <f t="shared" si="435"/>
        <v>1.8335869234206097E-2</v>
      </c>
      <c r="I232" s="11">
        <f t="shared" si="435"/>
        <v>1.8960524480056525E-2</v>
      </c>
      <c r="J232" s="11"/>
      <c r="N232" s="11">
        <f t="shared" ref="N232:AC232" si="437">N219/N$221</f>
        <v>9.5753969688997676E-3</v>
      </c>
      <c r="O232" s="11">
        <f t="shared" si="437"/>
        <v>9.9921941261523137E-3</v>
      </c>
      <c r="P232" s="11">
        <f t="shared" si="437"/>
        <v>1.0793151479947328E-2</v>
      </c>
      <c r="Q232" s="11">
        <f t="shared" si="437"/>
        <v>1.1546285599477622E-2</v>
      </c>
      <c r="R232" s="11">
        <f t="shared" si="437"/>
        <v>1.1708864001967273E-2</v>
      </c>
      <c r="S232" s="11">
        <f t="shared" si="437"/>
        <v>1.2479026005262695E-2</v>
      </c>
      <c r="T232" s="11">
        <f t="shared" si="437"/>
        <v>1.4094578185872465E-2</v>
      </c>
      <c r="U232" s="11">
        <f t="shared" si="437"/>
        <v>1.5246076684816092E-2</v>
      </c>
      <c r="V232" s="11">
        <f t="shared" si="437"/>
        <v>1.6041817025478734E-2</v>
      </c>
      <c r="W232" s="11">
        <f t="shared" si="437"/>
        <v>1.6650633254704016E-2</v>
      </c>
      <c r="X232" s="11">
        <f t="shared" si="437"/>
        <v>1.7488947854729937E-2</v>
      </c>
      <c r="Y232" s="11">
        <f t="shared" si="437"/>
        <v>1.8335869234206097E-2</v>
      </c>
      <c r="Z232" s="11">
        <f t="shared" si="437"/>
        <v>1.8792956486535561E-2</v>
      </c>
      <c r="AA232" s="11">
        <f t="shared" si="437"/>
        <v>1.8957150516200869E-2</v>
      </c>
      <c r="AB232" s="11">
        <f t="shared" si="437"/>
        <v>1.8595302287419006E-2</v>
      </c>
      <c r="AC232" s="11">
        <f t="shared" si="437"/>
        <v>1.8960524480056525E-2</v>
      </c>
      <c r="AG232" s="116"/>
      <c r="AH232" s="112"/>
    </row>
    <row r="233" spans="1:35" x14ac:dyDescent="0.35">
      <c r="A233" s="1" t="s">
        <v>188</v>
      </c>
      <c r="B233" s="11">
        <f>B220/B$221</f>
        <v>3.4029807061356089E-2</v>
      </c>
      <c r="C233" s="11">
        <f t="shared" si="435"/>
        <v>2.0161040524156078E-2</v>
      </c>
      <c r="D233" s="11">
        <f t="shared" si="435"/>
        <v>1.3353391384914063E-2</v>
      </c>
      <c r="E233" s="11">
        <f t="shared" si="435"/>
        <v>1.0530184945665995E-2</v>
      </c>
      <c r="F233" s="11">
        <f t="shared" si="435"/>
        <v>9.8747377490659427E-3</v>
      </c>
      <c r="G233" s="11">
        <f t="shared" si="435"/>
        <v>8.650204866425603E-3</v>
      </c>
      <c r="H233" s="11">
        <f t="shared" si="435"/>
        <v>8.1557739628739644E-3</v>
      </c>
      <c r="I233" s="11">
        <f t="shared" si="435"/>
        <v>8.4675617738519515E-3</v>
      </c>
      <c r="J233" s="11"/>
      <c r="N233" s="11">
        <f t="shared" ref="N233:AC233" si="438">N220/N$221</f>
        <v>1.0305277027301215E-2</v>
      </c>
      <c r="O233" s="11">
        <f t="shared" si="438"/>
        <v>1.0102381451038919E-2</v>
      </c>
      <c r="P233" s="11">
        <f t="shared" si="438"/>
        <v>1.0146049620785622E-2</v>
      </c>
      <c r="Q233" s="11">
        <f t="shared" si="438"/>
        <v>9.8747377490659427E-3</v>
      </c>
      <c r="R233" s="11">
        <f t="shared" si="438"/>
        <v>9.4835720546551823E-3</v>
      </c>
      <c r="S233" s="11">
        <f t="shared" si="438"/>
        <v>9.1948780026627538E-3</v>
      </c>
      <c r="T233" s="11">
        <f t="shared" si="438"/>
        <v>8.893987402604062E-3</v>
      </c>
      <c r="U233" s="11">
        <f t="shared" si="438"/>
        <v>8.650204866425603E-3</v>
      </c>
      <c r="V233" s="11">
        <f t="shared" si="438"/>
        <v>8.3832271669373338E-3</v>
      </c>
      <c r="W233" s="11">
        <f t="shared" si="438"/>
        <v>8.4210868502066077E-3</v>
      </c>
      <c r="X233" s="11">
        <f t="shared" si="438"/>
        <v>8.2798883394868232E-3</v>
      </c>
      <c r="Y233" s="11">
        <f t="shared" si="438"/>
        <v>8.1557739628739644E-3</v>
      </c>
      <c r="Z233" s="11">
        <f t="shared" si="438"/>
        <v>7.7402052394760614E-3</v>
      </c>
      <c r="AA233" s="11">
        <f t="shared" si="438"/>
        <v>7.9394461382508632E-3</v>
      </c>
      <c r="AB233" s="11">
        <f t="shared" si="438"/>
        <v>8.1267337481494804E-3</v>
      </c>
      <c r="AC233" s="11">
        <f t="shared" si="438"/>
        <v>8.4675617738519515E-3</v>
      </c>
      <c r="AG233" s="116"/>
      <c r="AH233" s="112"/>
    </row>
    <row r="234" spans="1:35" s="2" customFormat="1" x14ac:dyDescent="0.35">
      <c r="A234" s="2" t="s">
        <v>35</v>
      </c>
      <c r="B234" s="12">
        <f t="shared" ref="B234:I234" si="439">SUM(B223:B233)</f>
        <v>1</v>
      </c>
      <c r="C234" s="12">
        <f t="shared" si="439"/>
        <v>1.0000000000000002</v>
      </c>
      <c r="D234" s="12">
        <f t="shared" si="439"/>
        <v>1</v>
      </c>
      <c r="E234" s="12">
        <f t="shared" si="439"/>
        <v>1</v>
      </c>
      <c r="F234" s="12">
        <f t="shared" si="439"/>
        <v>1</v>
      </c>
      <c r="G234" s="12">
        <f t="shared" si="439"/>
        <v>1</v>
      </c>
      <c r="H234" s="12">
        <f t="shared" si="439"/>
        <v>0.99999999999999989</v>
      </c>
      <c r="I234" s="12">
        <f t="shared" si="439"/>
        <v>0.99999999999999989</v>
      </c>
      <c r="J234" s="12"/>
      <c r="N234" s="12">
        <f t="shared" ref="N234:AC234" si="440">SUM(N223:N233)</f>
        <v>1</v>
      </c>
      <c r="O234" s="12">
        <f t="shared" si="440"/>
        <v>0.99999999999999989</v>
      </c>
      <c r="P234" s="12">
        <f t="shared" si="440"/>
        <v>0.99999999999999989</v>
      </c>
      <c r="Q234" s="12">
        <f t="shared" si="440"/>
        <v>1</v>
      </c>
      <c r="R234" s="12">
        <f t="shared" si="440"/>
        <v>1</v>
      </c>
      <c r="S234" s="12">
        <f t="shared" si="440"/>
        <v>1.0000000000000004</v>
      </c>
      <c r="T234" s="12">
        <f t="shared" si="440"/>
        <v>1.0000000000000002</v>
      </c>
      <c r="U234" s="12">
        <f t="shared" si="440"/>
        <v>1</v>
      </c>
      <c r="V234" s="12">
        <f t="shared" si="440"/>
        <v>1</v>
      </c>
      <c r="W234" s="12">
        <f t="shared" si="440"/>
        <v>0.99999999999999978</v>
      </c>
      <c r="X234" s="12">
        <f t="shared" si="440"/>
        <v>0.99999999999999978</v>
      </c>
      <c r="Y234" s="12">
        <f t="shared" si="440"/>
        <v>0.99999999999999989</v>
      </c>
      <c r="Z234" s="12">
        <f t="shared" si="440"/>
        <v>0.99999999999999967</v>
      </c>
      <c r="AA234" s="12">
        <f t="shared" si="440"/>
        <v>0.99999999999999989</v>
      </c>
      <c r="AB234" s="12">
        <f t="shared" si="440"/>
        <v>1</v>
      </c>
      <c r="AC234" s="12">
        <f t="shared" si="440"/>
        <v>0.99999999999999989</v>
      </c>
      <c r="AD234" s="70"/>
      <c r="AE234" s="70"/>
      <c r="AF234" s="70"/>
      <c r="AG234" s="94"/>
    </row>
    <row r="235" spans="1:35" s="2" customFormat="1" x14ac:dyDescent="0.35">
      <c r="B235" s="4"/>
      <c r="C235" s="4"/>
      <c r="D235" s="4"/>
      <c r="E235" s="4"/>
      <c r="F235" s="4"/>
      <c r="G235" s="4"/>
      <c r="H235" s="4"/>
      <c r="I235" s="4"/>
      <c r="J235" s="4"/>
      <c r="N235" s="4"/>
      <c r="O235" s="4"/>
      <c r="P235" s="34"/>
      <c r="Q235" s="4"/>
      <c r="R235" s="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70"/>
      <c r="AE235" s="70"/>
      <c r="AF235" s="70"/>
    </row>
    <row r="236" spans="1:35" s="5" customFormat="1" x14ac:dyDescent="0.35">
      <c r="A236" s="5" t="s">
        <v>112</v>
      </c>
      <c r="B236" s="22" t="str">
        <f t="shared" ref="B236:I236" si="441">B$1</f>
        <v>FY17</v>
      </c>
      <c r="C236" s="22" t="str">
        <f t="shared" si="441"/>
        <v>FY18</v>
      </c>
      <c r="D236" s="22" t="str">
        <f t="shared" si="441"/>
        <v>FY19</v>
      </c>
      <c r="E236" s="22" t="str">
        <f t="shared" si="441"/>
        <v>FY20</v>
      </c>
      <c r="F236" s="22" t="str">
        <f t="shared" si="441"/>
        <v>FY21</v>
      </c>
      <c r="G236" s="22" t="str">
        <f t="shared" si="441"/>
        <v>FY22</v>
      </c>
      <c r="H236" s="22" t="str">
        <f t="shared" si="441"/>
        <v>FY23</v>
      </c>
      <c r="I236" s="22" t="str">
        <f t="shared" si="441"/>
        <v>FY24</v>
      </c>
      <c r="J236" s="22"/>
      <c r="N236" s="6" t="str">
        <f t="shared" ref="N236:AE236" si="442">N$1</f>
        <v>Q1FY21</v>
      </c>
      <c r="O236" s="6" t="str">
        <f t="shared" si="442"/>
        <v>Q2FY21</v>
      </c>
      <c r="P236" s="80" t="str">
        <f t="shared" si="442"/>
        <v>Q3FY21</v>
      </c>
      <c r="Q236" s="6" t="str">
        <f t="shared" si="442"/>
        <v>Q4FY21</v>
      </c>
      <c r="R236" s="6" t="str">
        <f t="shared" si="442"/>
        <v>Q1FY22</v>
      </c>
      <c r="S236" s="80" t="str">
        <f t="shared" si="442"/>
        <v>Q2FY22</v>
      </c>
      <c r="T236" s="80" t="str">
        <f t="shared" si="442"/>
        <v>Q3FY22</v>
      </c>
      <c r="U236" s="80" t="str">
        <f t="shared" si="442"/>
        <v>Q4FY22</v>
      </c>
      <c r="V236" s="80" t="str">
        <f t="shared" si="442"/>
        <v>Q1FY23</v>
      </c>
      <c r="W236" s="80" t="str">
        <f t="shared" si="442"/>
        <v>Q2FY23</v>
      </c>
      <c r="X236" s="80" t="str">
        <f t="shared" si="442"/>
        <v>Q3FY23</v>
      </c>
      <c r="Y236" s="80" t="str">
        <f t="shared" si="442"/>
        <v>Q4FY23</v>
      </c>
      <c r="Z236" s="80" t="str">
        <f t="shared" si="442"/>
        <v>Q1FY24</v>
      </c>
      <c r="AA236" s="80" t="str">
        <f t="shared" si="442"/>
        <v>Q2FY24</v>
      </c>
      <c r="AB236" s="80" t="str">
        <f t="shared" si="442"/>
        <v>Q3FY24</v>
      </c>
      <c r="AC236" s="80" t="str">
        <f t="shared" si="442"/>
        <v>Q4FY24</v>
      </c>
      <c r="AD236" s="6" t="str">
        <f t="shared" si="442"/>
        <v>y-o-y</v>
      </c>
      <c r="AE236" s="6" t="str">
        <f t="shared" si="442"/>
        <v>q-o-q</v>
      </c>
      <c r="AF236" s="6"/>
    </row>
    <row r="237" spans="1:35" x14ac:dyDescent="0.35">
      <c r="A237" s="1" t="s">
        <v>109</v>
      </c>
      <c r="B237" s="26">
        <v>1371.98</v>
      </c>
      <c r="C237" s="26">
        <v>2555.6799999999998</v>
      </c>
      <c r="D237" s="26">
        <v>6647.82</v>
      </c>
      <c r="E237" s="26">
        <v>10971.24</v>
      </c>
      <c r="F237" s="26">
        <v>13804.6</v>
      </c>
      <c r="G237" s="26">
        <v>19027.289000000001</v>
      </c>
      <c r="H237" s="26">
        <f t="shared" ref="H237:H239" si="443">Y237</f>
        <v>27972.799999999999</v>
      </c>
      <c r="I237" s="26">
        <f t="shared" ref="I237:I239" si="444">AC237</f>
        <v>36846.019999999997</v>
      </c>
      <c r="J237" s="26"/>
      <c r="N237" s="26">
        <v>11134.9</v>
      </c>
      <c r="O237" s="26">
        <v>11793.24</v>
      </c>
      <c r="P237" s="26">
        <v>12608.57</v>
      </c>
      <c r="Q237" s="26">
        <f>F237</f>
        <v>13804.6</v>
      </c>
      <c r="R237" s="26">
        <v>14510.96</v>
      </c>
      <c r="S237" s="26">
        <v>15975.04</v>
      </c>
      <c r="T237" s="26">
        <v>17358.18</v>
      </c>
      <c r="U237" s="26">
        <f>G237</f>
        <v>19027.289000000001</v>
      </c>
      <c r="V237" s="26">
        <v>20882.63</v>
      </c>
      <c r="W237" s="26">
        <v>23153.91</v>
      </c>
      <c r="X237" s="26">
        <v>25436.59</v>
      </c>
      <c r="Y237" s="26">
        <v>27972.799999999999</v>
      </c>
      <c r="Z237" s="26">
        <v>29835.9</v>
      </c>
      <c r="AA237" s="26">
        <v>31864.13</v>
      </c>
      <c r="AB237" s="26">
        <v>34272.400000000001</v>
      </c>
      <c r="AC237" s="26">
        <v>36846.019999999997</v>
      </c>
      <c r="AD237" s="69">
        <f>IFERROR(AC237/Y237-1,"")</f>
        <v>0.317208860035463</v>
      </c>
      <c r="AE237" s="69">
        <f>IFERROR(AC237/AB237-1,"")</f>
        <v>7.5093077811883457E-2</v>
      </c>
      <c r="AF237" s="75"/>
      <c r="AG237" s="118"/>
      <c r="AH237" s="117"/>
    </row>
    <row r="238" spans="1:35" x14ac:dyDescent="0.35">
      <c r="A238" s="1" t="s">
        <v>110</v>
      </c>
      <c r="B238" s="26">
        <v>4102.8900000000003</v>
      </c>
      <c r="C238" s="26">
        <v>6393.99</v>
      </c>
      <c r="D238" s="26">
        <v>12578.2</v>
      </c>
      <c r="E238" s="26">
        <v>17947.669999999998</v>
      </c>
      <c r="F238" s="26">
        <v>21041.18</v>
      </c>
      <c r="G238" s="26">
        <v>25828.964</v>
      </c>
      <c r="H238" s="26">
        <f t="shared" si="443"/>
        <v>33823.480000000003</v>
      </c>
      <c r="I238" s="26">
        <f t="shared" si="444"/>
        <v>42624.67</v>
      </c>
      <c r="J238" s="26"/>
      <c r="N238" s="26">
        <v>18102.63</v>
      </c>
      <c r="O238" s="26">
        <v>18947.73</v>
      </c>
      <c r="P238" s="26">
        <v>19752.16</v>
      </c>
      <c r="Q238" s="26">
        <f>F238</f>
        <v>21041.18</v>
      </c>
      <c r="R238" s="26">
        <v>21745.64</v>
      </c>
      <c r="S238" s="26">
        <v>23010.27</v>
      </c>
      <c r="T238" s="26">
        <v>24379.040000000001</v>
      </c>
      <c r="U238" s="26">
        <f>G238</f>
        <v>25828.964</v>
      </c>
      <c r="V238" s="26">
        <v>27416.6</v>
      </c>
      <c r="W238" s="26">
        <v>28985.08</v>
      </c>
      <c r="X238" s="26">
        <v>31266.37</v>
      </c>
      <c r="Y238" s="26">
        <v>33823.480000000003</v>
      </c>
      <c r="Z238" s="26">
        <v>35781.440000000002</v>
      </c>
      <c r="AA238" s="26">
        <v>37968.879999999997</v>
      </c>
      <c r="AB238" s="26">
        <v>40198.720000000001</v>
      </c>
      <c r="AC238" s="26">
        <v>42624.67</v>
      </c>
      <c r="AD238" s="69">
        <f>IFERROR(AC238/Y238-1,"")</f>
        <v>0.26020947578427744</v>
      </c>
      <c r="AE238" s="69">
        <f>IFERROR(AC238/AB238-1,"")</f>
        <v>6.0348936483549664E-2</v>
      </c>
      <c r="AF238" s="75"/>
      <c r="AG238" s="118"/>
      <c r="AH238" s="117"/>
    </row>
    <row r="239" spans="1:35" x14ac:dyDescent="0.35">
      <c r="A239" s="1" t="s">
        <v>111</v>
      </c>
      <c r="B239" s="26">
        <v>2998.29</v>
      </c>
      <c r="C239" s="26">
        <v>4609.6499999999996</v>
      </c>
      <c r="D239" s="26">
        <v>5209.72</v>
      </c>
      <c r="E239" s="26">
        <v>7264.69</v>
      </c>
      <c r="F239" s="26">
        <v>6564.94</v>
      </c>
      <c r="G239" s="26">
        <v>8947.0930000000008</v>
      </c>
      <c r="H239" s="26">
        <f t="shared" si="443"/>
        <v>10183.4</v>
      </c>
      <c r="I239" s="26">
        <f t="shared" si="444"/>
        <v>17507.64</v>
      </c>
      <c r="J239" s="26"/>
      <c r="N239" s="26">
        <v>6987.6</v>
      </c>
      <c r="O239" s="26">
        <v>6559.15</v>
      </c>
      <c r="P239" s="26">
        <v>7045.74</v>
      </c>
      <c r="Q239" s="26">
        <f>F239</f>
        <v>6564.94</v>
      </c>
      <c r="R239" s="26">
        <v>6686.08</v>
      </c>
      <c r="S239" s="26">
        <v>7184.97</v>
      </c>
      <c r="T239" s="26">
        <v>8203.26</v>
      </c>
      <c r="U239" s="26">
        <f>G239</f>
        <v>8947.0930000000008</v>
      </c>
      <c r="V239" s="26">
        <v>10019.6</v>
      </c>
      <c r="W239" s="26">
        <v>10615.38</v>
      </c>
      <c r="X239" s="26">
        <v>10808.82</v>
      </c>
      <c r="Y239" s="26">
        <v>10183.4</v>
      </c>
      <c r="Z239" s="26">
        <v>12141.58</v>
      </c>
      <c r="AA239" s="26">
        <v>13821.44</v>
      </c>
      <c r="AB239" s="26">
        <v>15666.32</v>
      </c>
      <c r="AC239" s="26">
        <v>17507.64</v>
      </c>
      <c r="AD239" s="69">
        <f>IFERROR(AC239/Y239-1,"")</f>
        <v>0.71923326197537163</v>
      </c>
      <c r="AE239" s="69">
        <f>IFERROR(AC239/AB239-1,"")</f>
        <v>0.11753366457470538</v>
      </c>
      <c r="AF239" s="75"/>
      <c r="AG239" s="118"/>
      <c r="AH239" s="117"/>
    </row>
    <row r="240" spans="1:35" s="2" customFormat="1" x14ac:dyDescent="0.35">
      <c r="A240" s="2" t="s">
        <v>35</v>
      </c>
      <c r="B240" s="4">
        <f t="shared" ref="B240:G240" si="445">SUM(B237:B239)</f>
        <v>8473.16</v>
      </c>
      <c r="C240" s="4">
        <f t="shared" si="445"/>
        <v>13559.32</v>
      </c>
      <c r="D240" s="4">
        <f t="shared" si="445"/>
        <v>24435.74</v>
      </c>
      <c r="E240" s="4">
        <f t="shared" si="445"/>
        <v>36183.599999999999</v>
      </c>
      <c r="F240" s="4">
        <f t="shared" si="445"/>
        <v>41410.720000000001</v>
      </c>
      <c r="G240" s="4">
        <f t="shared" si="445"/>
        <v>53803.345999999998</v>
      </c>
      <c r="H240" s="4">
        <f t="shared" ref="H240:I240" si="446">SUM(H237:H239)</f>
        <v>71979.679999999993</v>
      </c>
      <c r="I240" s="4">
        <f t="shared" si="446"/>
        <v>96978.33</v>
      </c>
      <c r="J240" s="4"/>
      <c r="N240" s="4">
        <f t="shared" ref="N240:U240" si="447">SUM(N237:N239)</f>
        <v>36225.129999999997</v>
      </c>
      <c r="O240" s="4">
        <f t="shared" si="447"/>
        <v>37300.120000000003</v>
      </c>
      <c r="P240" s="4">
        <f t="shared" si="447"/>
        <v>39406.47</v>
      </c>
      <c r="Q240" s="4">
        <f t="shared" si="447"/>
        <v>41410.720000000001</v>
      </c>
      <c r="R240" s="4">
        <f t="shared" si="447"/>
        <v>42942.68</v>
      </c>
      <c r="S240" s="4">
        <f t="shared" si="447"/>
        <v>46170.28</v>
      </c>
      <c r="T240" s="4">
        <f>SUM(T237:T239)</f>
        <v>49940.480000000003</v>
      </c>
      <c r="U240" s="4">
        <f t="shared" si="447"/>
        <v>53803.345999999998</v>
      </c>
      <c r="V240" s="4">
        <f t="shared" ref="V240:W240" si="448">SUM(V237:V239)</f>
        <v>58318.829999999994</v>
      </c>
      <c r="W240" s="4">
        <f t="shared" si="448"/>
        <v>62754.37</v>
      </c>
      <c r="X240" s="4">
        <f t="shared" ref="X240:AB240" si="449">SUM(X237:X239)</f>
        <v>67511.78</v>
      </c>
      <c r="Y240" s="4">
        <f t="shared" si="449"/>
        <v>71979.679999999993</v>
      </c>
      <c r="Z240" s="4">
        <f t="shared" si="449"/>
        <v>77758.92</v>
      </c>
      <c r="AA240" s="4">
        <f t="shared" si="449"/>
        <v>83654.45</v>
      </c>
      <c r="AB240" s="4">
        <f t="shared" si="449"/>
        <v>90137.44</v>
      </c>
      <c r="AC240" s="4">
        <f>SUM(AC237:AC239)</f>
        <v>96978.33</v>
      </c>
      <c r="AD240" s="71">
        <f>IFERROR(AC240/Y240-1,"")</f>
        <v>0.34730148842006536</v>
      </c>
      <c r="AE240" s="71">
        <f>IFERROR(AC240/AB240-1,"")</f>
        <v>7.5893990332984718E-2</v>
      </c>
      <c r="AF240" s="76"/>
      <c r="AG240" s="115"/>
      <c r="AH240" s="127"/>
      <c r="AI240" s="127"/>
    </row>
    <row r="242" spans="1:32" x14ac:dyDescent="0.35">
      <c r="A242" s="1" t="s">
        <v>13</v>
      </c>
      <c r="B242" s="30">
        <v>0.75900000000000001</v>
      </c>
      <c r="C242" s="30">
        <v>0.74870000000000003</v>
      </c>
      <c r="D242" s="30">
        <v>0.73260000000000003</v>
      </c>
      <c r="E242" s="30">
        <v>0.60160000000000002</v>
      </c>
      <c r="F242" s="30">
        <v>0.58979999999999999</v>
      </c>
      <c r="G242" s="30">
        <v>0.57240000000000002</v>
      </c>
      <c r="H242" s="30">
        <f t="shared" ref="H242:H243" si="450">Y242</f>
        <v>0.5595</v>
      </c>
      <c r="I242" s="30">
        <f>AC242</f>
        <v>0.55620000000000003</v>
      </c>
      <c r="J242" s="30"/>
      <c r="N242" s="30">
        <v>0.60099999999999998</v>
      </c>
      <c r="O242" s="30">
        <v>0.60070000000000001</v>
      </c>
      <c r="P242" s="30">
        <v>0.59471511624086415</v>
      </c>
      <c r="Q242" s="30">
        <f>F242</f>
        <v>0.58979999999999999</v>
      </c>
      <c r="R242" s="30">
        <v>0.58699999999999997</v>
      </c>
      <c r="S242" s="30">
        <v>0.57999999999999996</v>
      </c>
      <c r="T242" s="30">
        <v>0.57582900149433247</v>
      </c>
      <c r="U242" s="30">
        <f>G242</f>
        <v>0.57240000000000002</v>
      </c>
      <c r="V242" s="30">
        <v>0.56640000000000001</v>
      </c>
      <c r="W242" s="30">
        <v>0.56197343965076951</v>
      </c>
      <c r="X242" s="30">
        <v>0.56020000000000003</v>
      </c>
      <c r="Y242" s="30">
        <v>0.5595</v>
      </c>
      <c r="Z242" s="30">
        <v>0.55840000000000001</v>
      </c>
      <c r="AA242" s="30">
        <v>0.55679999999999996</v>
      </c>
      <c r="AB242" s="30">
        <v>0.55579999999999996</v>
      </c>
      <c r="AC242" s="30">
        <v>0.55620000000000003</v>
      </c>
    </row>
    <row r="243" spans="1:32" x14ac:dyDescent="0.35">
      <c r="A243" s="1" t="s">
        <v>14</v>
      </c>
      <c r="B243" s="30">
        <v>0.64900000000000002</v>
      </c>
      <c r="C243" s="30">
        <v>0.63070000000000004</v>
      </c>
      <c r="D243" s="30">
        <v>0.57640000000000002</v>
      </c>
      <c r="E243" s="30">
        <v>0.49430000000000002</v>
      </c>
      <c r="F243" s="30">
        <v>0.47549999999999998</v>
      </c>
      <c r="G243" s="30">
        <v>0.46949999999999997</v>
      </c>
      <c r="H243" s="30">
        <f t="shared" si="450"/>
        <v>0.4572</v>
      </c>
      <c r="I243" s="30">
        <f>AC243</f>
        <v>0.46920000000000001</v>
      </c>
      <c r="J243" s="30"/>
      <c r="N243" s="30">
        <v>0.49380000000000002</v>
      </c>
      <c r="O243" s="30">
        <v>0.48780000000000001</v>
      </c>
      <c r="P243" s="30">
        <v>0.48519486053529803</v>
      </c>
      <c r="Q243" s="30">
        <f>F243</f>
        <v>0.47549999999999998</v>
      </c>
      <c r="R243" s="30">
        <v>0.4743</v>
      </c>
      <c r="S243" s="30">
        <v>0.47</v>
      </c>
      <c r="T243" s="30">
        <v>0.47084713487151864</v>
      </c>
      <c r="U243" s="30">
        <f>G243</f>
        <v>0.46949999999999997</v>
      </c>
      <c r="V243" s="30">
        <v>0.46834999999999999</v>
      </c>
      <c r="W243" s="30">
        <v>0.46516442882528586</v>
      </c>
      <c r="X243" s="30">
        <v>0.46250000000000002</v>
      </c>
      <c r="Y243" s="30">
        <v>0.4572</v>
      </c>
      <c r="Z243" s="30">
        <v>0.46050000000000002</v>
      </c>
      <c r="AA243" s="30">
        <v>0.46400000000000002</v>
      </c>
      <c r="AB243" s="30">
        <v>0.46610000000000001</v>
      </c>
      <c r="AC243" s="30">
        <v>0.46920000000000001</v>
      </c>
    </row>
    <row r="245" spans="1:32" s="5" customFormat="1" x14ac:dyDescent="0.35">
      <c r="A245" s="5" t="s">
        <v>119</v>
      </c>
      <c r="B245" s="22" t="str">
        <f t="shared" ref="B245:I245" si="451">B$1</f>
        <v>FY17</v>
      </c>
      <c r="C245" s="22" t="str">
        <f t="shared" si="451"/>
        <v>FY18</v>
      </c>
      <c r="D245" s="22" t="str">
        <f t="shared" si="451"/>
        <v>FY19</v>
      </c>
      <c r="E245" s="22" t="str">
        <f t="shared" si="451"/>
        <v>FY20</v>
      </c>
      <c r="F245" s="22" t="str">
        <f t="shared" si="451"/>
        <v>FY21</v>
      </c>
      <c r="G245" s="22" t="str">
        <f t="shared" si="451"/>
        <v>FY22</v>
      </c>
      <c r="H245" s="22" t="str">
        <f t="shared" si="451"/>
        <v>FY23</v>
      </c>
      <c r="I245" s="22" t="str">
        <f t="shared" si="451"/>
        <v>FY24</v>
      </c>
      <c r="J245" s="22"/>
      <c r="N245" s="6" t="s">
        <v>38</v>
      </c>
      <c r="O245" s="6" t="s">
        <v>39</v>
      </c>
      <c r="P245" s="80" t="s">
        <v>40</v>
      </c>
      <c r="Q245" s="6" t="s">
        <v>74</v>
      </c>
      <c r="R245" s="6" t="s">
        <v>186</v>
      </c>
      <c r="S245" s="80" t="s">
        <v>191</v>
      </c>
      <c r="T245" s="80" t="s">
        <v>204</v>
      </c>
      <c r="U245" s="80" t="s">
        <v>212</v>
      </c>
      <c r="V245" s="80" t="s">
        <v>223</v>
      </c>
      <c r="W245" s="80" t="s">
        <v>226</v>
      </c>
      <c r="X245" s="80" t="str">
        <f t="shared" ref="X245:AC245" si="452">X$1</f>
        <v>Q3FY23</v>
      </c>
      <c r="Y245" s="80" t="str">
        <f t="shared" si="452"/>
        <v>Q4FY23</v>
      </c>
      <c r="Z245" s="80" t="str">
        <f t="shared" si="452"/>
        <v>Q1FY24</v>
      </c>
      <c r="AA245" s="80" t="str">
        <f t="shared" si="452"/>
        <v>Q2FY24</v>
      </c>
      <c r="AB245" s="80" t="str">
        <f t="shared" si="452"/>
        <v>Q3FY24</v>
      </c>
      <c r="AC245" s="80" t="str">
        <f t="shared" si="452"/>
        <v>Q4FY24</v>
      </c>
      <c r="AD245" s="6"/>
      <c r="AE245" s="6"/>
      <c r="AF245" s="6"/>
    </row>
    <row r="246" spans="1:32" x14ac:dyDescent="0.35">
      <c r="A246" s="1" t="s">
        <v>116</v>
      </c>
      <c r="B246" s="26">
        <v>36</v>
      </c>
      <c r="C246" s="26">
        <v>42</v>
      </c>
      <c r="D246" s="26">
        <v>60</v>
      </c>
      <c r="E246" s="26">
        <v>68</v>
      </c>
      <c r="F246" s="26">
        <v>72</v>
      </c>
      <c r="G246" s="26">
        <v>80</v>
      </c>
      <c r="H246" s="26">
        <f t="shared" ref="H246:H247" si="453">Y246</f>
        <v>111</v>
      </c>
      <c r="I246" s="26">
        <f>AC246</f>
        <v>133</v>
      </c>
      <c r="J246" s="26"/>
      <c r="N246" s="26">
        <v>68</v>
      </c>
      <c r="O246" s="26">
        <v>70</v>
      </c>
      <c r="P246" s="26">
        <v>72</v>
      </c>
      <c r="Q246" s="26">
        <f>F246</f>
        <v>72</v>
      </c>
      <c r="R246" s="26">
        <v>72</v>
      </c>
      <c r="S246" s="26">
        <v>72</v>
      </c>
      <c r="T246" s="26">
        <v>76</v>
      </c>
      <c r="U246" s="26">
        <v>80</v>
      </c>
      <c r="V246" s="26">
        <v>93</v>
      </c>
      <c r="W246" s="26">
        <v>101</v>
      </c>
      <c r="X246" s="26">
        <v>102</v>
      </c>
      <c r="Y246" s="26">
        <v>111</v>
      </c>
      <c r="Z246" s="26">
        <v>113</v>
      </c>
      <c r="AA246" s="26">
        <v>120</v>
      </c>
      <c r="AB246" s="26">
        <v>123</v>
      </c>
      <c r="AC246" s="26">
        <v>133</v>
      </c>
    </row>
    <row r="247" spans="1:32" x14ac:dyDescent="0.35">
      <c r="A247" s="1" t="s">
        <v>117</v>
      </c>
      <c r="B247" s="26">
        <v>200</v>
      </c>
      <c r="C247" s="26">
        <v>382</v>
      </c>
      <c r="D247" s="26">
        <v>675</v>
      </c>
      <c r="E247" s="26">
        <v>696</v>
      </c>
      <c r="F247" s="26">
        <v>687</v>
      </c>
      <c r="G247" s="26">
        <v>851</v>
      </c>
      <c r="H247" s="26">
        <f t="shared" si="453"/>
        <v>993</v>
      </c>
      <c r="I247" s="26">
        <f>AC247</f>
        <v>1249</v>
      </c>
      <c r="J247" s="26"/>
      <c r="N247" s="26">
        <v>709</v>
      </c>
      <c r="O247" s="26">
        <v>675</v>
      </c>
      <c r="P247" s="26">
        <v>692</v>
      </c>
      <c r="Q247" s="26">
        <f>F247</f>
        <v>687</v>
      </c>
      <c r="R247" s="26">
        <v>709</v>
      </c>
      <c r="S247" s="26">
        <v>806</v>
      </c>
      <c r="T247" s="26">
        <v>830</v>
      </c>
      <c r="U247" s="26">
        <v>851</v>
      </c>
      <c r="V247" s="26">
        <v>905</v>
      </c>
      <c r="W247" s="26">
        <v>951</v>
      </c>
      <c r="X247" s="26">
        <v>977</v>
      </c>
      <c r="Y247" s="26">
        <v>993</v>
      </c>
      <c r="Z247" s="26">
        <v>1105</v>
      </c>
      <c r="AA247" s="26">
        <v>1242</v>
      </c>
      <c r="AB247" s="26">
        <v>1236</v>
      </c>
      <c r="AC247" s="26">
        <v>1249</v>
      </c>
    </row>
    <row r="248" spans="1:32" x14ac:dyDescent="0.35">
      <c r="A248" s="1" t="s">
        <v>2</v>
      </c>
      <c r="B248" s="3">
        <f t="shared" ref="B248:G248" si="454">B247/B246</f>
        <v>5.5555555555555554</v>
      </c>
      <c r="C248" s="3">
        <f t="shared" si="454"/>
        <v>9.0952380952380949</v>
      </c>
      <c r="D248" s="3">
        <f t="shared" si="454"/>
        <v>11.25</v>
      </c>
      <c r="E248" s="3">
        <f t="shared" si="454"/>
        <v>10.235294117647058</v>
      </c>
      <c r="F248" s="3">
        <f t="shared" si="454"/>
        <v>9.5416666666666661</v>
      </c>
      <c r="G248" s="3">
        <f t="shared" si="454"/>
        <v>10.637499999999999</v>
      </c>
      <c r="H248" s="3">
        <f t="shared" ref="H248:I248" si="455">H247/H246</f>
        <v>8.9459459459459456</v>
      </c>
      <c r="I248" s="3">
        <f t="shared" si="455"/>
        <v>9.3909774436090228</v>
      </c>
      <c r="N248" s="3">
        <f t="shared" ref="N248:U248" si="456">N247/N246</f>
        <v>10.426470588235293</v>
      </c>
      <c r="O248" s="3">
        <f t="shared" si="456"/>
        <v>9.6428571428571423</v>
      </c>
      <c r="P248" s="3">
        <f t="shared" si="456"/>
        <v>9.6111111111111107</v>
      </c>
      <c r="Q248" s="3">
        <f t="shared" si="456"/>
        <v>9.5416666666666661</v>
      </c>
      <c r="R248" s="3">
        <f t="shared" si="456"/>
        <v>9.8472222222222214</v>
      </c>
      <c r="S248" s="3">
        <f t="shared" si="456"/>
        <v>11.194444444444445</v>
      </c>
      <c r="T248" s="3">
        <f t="shared" si="456"/>
        <v>10.921052631578947</v>
      </c>
      <c r="U248" s="3">
        <f t="shared" si="456"/>
        <v>10.637499999999999</v>
      </c>
      <c r="V248" s="3">
        <f t="shared" ref="V248" si="457">V247/V246</f>
        <v>9.7311827956989241</v>
      </c>
      <c r="W248" s="3">
        <f t="shared" ref="W248:AB248" si="458">W247/W246</f>
        <v>9.4158415841584162</v>
      </c>
      <c r="X248" s="3">
        <f t="shared" si="458"/>
        <v>9.5784313725490193</v>
      </c>
      <c r="Y248" s="3">
        <f t="shared" si="458"/>
        <v>8.9459459459459456</v>
      </c>
      <c r="Z248" s="3">
        <f t="shared" si="458"/>
        <v>9.7787610619469021</v>
      </c>
      <c r="AA248" s="3">
        <f t="shared" si="458"/>
        <v>10.35</v>
      </c>
      <c r="AB248" s="3">
        <f t="shared" si="458"/>
        <v>10.048780487804878</v>
      </c>
      <c r="AC248" s="3">
        <f>AC247/AC246</f>
        <v>9.3909774436090228</v>
      </c>
    </row>
    <row r="249" spans="1:32" x14ac:dyDescent="0.35">
      <c r="A249" s="1" t="s">
        <v>125</v>
      </c>
      <c r="B249" s="3">
        <v>287.23</v>
      </c>
      <c r="C249" s="3">
        <f t="shared" ref="C249:I249" si="459">C3/(AVERAGE(B246:C246))</f>
        <v>347.67487179487176</v>
      </c>
      <c r="D249" s="3">
        <f t="shared" si="459"/>
        <v>479.13215686274515</v>
      </c>
      <c r="E249" s="3">
        <f t="shared" si="459"/>
        <v>565.36874999999998</v>
      </c>
      <c r="F249" s="3">
        <f t="shared" si="459"/>
        <v>591.58171428571427</v>
      </c>
      <c r="G249" s="3">
        <f t="shared" si="459"/>
        <v>707.93881578947367</v>
      </c>
      <c r="H249" s="3">
        <f t="shared" si="459"/>
        <v>753.71392670157059</v>
      </c>
      <c r="I249" s="3">
        <f t="shared" si="459"/>
        <v>794.90434426229513</v>
      </c>
      <c r="N249" s="3">
        <f>N3/(AVERAGE(E246,N246))</f>
        <v>532.72249999999997</v>
      </c>
      <c r="O249" s="3">
        <f t="shared" ref="O249:AC249" si="460">O3/(AVERAGE(N246:O246))</f>
        <v>540.58144927536239</v>
      </c>
      <c r="P249" s="3">
        <f t="shared" si="460"/>
        <v>555.02064950070417</v>
      </c>
      <c r="Q249" s="3">
        <f t="shared" si="460"/>
        <v>575.14888888888891</v>
      </c>
      <c r="R249" s="3">
        <f t="shared" si="460"/>
        <v>596.42611111111114</v>
      </c>
      <c r="S249" s="3">
        <f t="shared" si="460"/>
        <v>641.25388888888892</v>
      </c>
      <c r="T249" s="3">
        <f t="shared" si="460"/>
        <v>674.87135135135145</v>
      </c>
      <c r="U249" s="3">
        <f t="shared" si="460"/>
        <v>689.7865384615385</v>
      </c>
      <c r="V249" s="3">
        <f t="shared" si="460"/>
        <v>674.20612716763003</v>
      </c>
      <c r="W249" s="3">
        <f t="shared" si="460"/>
        <v>646.95226804123718</v>
      </c>
      <c r="X249" s="3">
        <f t="shared" si="460"/>
        <v>665.14068965517242</v>
      </c>
      <c r="Y249" s="3">
        <f t="shared" si="460"/>
        <v>675.86553990610321</v>
      </c>
      <c r="Z249" s="3">
        <f t="shared" si="460"/>
        <v>694.27607142857141</v>
      </c>
      <c r="AA249" s="3">
        <f t="shared" si="460"/>
        <v>718.06394849785408</v>
      </c>
      <c r="AB249" s="3">
        <f t="shared" si="460"/>
        <v>741.87193415637864</v>
      </c>
      <c r="AC249" s="3">
        <f t="shared" si="460"/>
        <v>757.64320312500001</v>
      </c>
    </row>
    <row r="250" spans="1:32" x14ac:dyDescent="0.35">
      <c r="A250" s="1" t="s">
        <v>214</v>
      </c>
      <c r="B250" s="3">
        <v>143.85</v>
      </c>
      <c r="C250" s="3">
        <f t="shared" ref="C250:I250" si="461">C15/(AVERAGE(B246:C246))</f>
        <v>191.16128205128206</v>
      </c>
      <c r="D250" s="3">
        <f t="shared" si="461"/>
        <v>308.3962745098039</v>
      </c>
      <c r="E250" s="3">
        <f t="shared" si="461"/>
        <v>252.85749999999999</v>
      </c>
      <c r="F250" s="3">
        <f t="shared" si="461"/>
        <v>156.65899999999999</v>
      </c>
      <c r="G250" s="3">
        <f t="shared" si="461"/>
        <v>267.17498509210526</v>
      </c>
      <c r="H250" s="3">
        <f t="shared" si="461"/>
        <v>315.48816753926707</v>
      </c>
      <c r="I250" s="3">
        <f t="shared" si="461"/>
        <v>324.86860655737706</v>
      </c>
      <c r="N250" s="3">
        <f>N15/(AVERAGE(E246,N246))*4</f>
        <v>31.062941176470591</v>
      </c>
      <c r="O250" s="3">
        <f t="shared" ref="O250:AC250" si="462">O15/(AVERAGE(N246:O246))*4</f>
        <v>140.95130434782607</v>
      </c>
      <c r="P250" s="3">
        <f t="shared" si="462"/>
        <v>196.52218422535213</v>
      </c>
      <c r="Q250" s="3">
        <f t="shared" si="462"/>
        <v>251.02166666666668</v>
      </c>
      <c r="R250" s="3">
        <f t="shared" si="462"/>
        <v>169.23666666666668</v>
      </c>
      <c r="S250" s="3">
        <f t="shared" si="462"/>
        <v>286.20333333333332</v>
      </c>
      <c r="T250" s="3">
        <f t="shared" si="462"/>
        <v>307.90588470270274</v>
      </c>
      <c r="U250" s="3">
        <f t="shared" si="462"/>
        <v>328.77538461538461</v>
      </c>
      <c r="V250" s="3">
        <f t="shared" si="462"/>
        <v>305.7521387283237</v>
      </c>
      <c r="W250" s="3">
        <f t="shared" si="462"/>
        <v>289.5501030927835</v>
      </c>
      <c r="X250" s="3">
        <f t="shared" si="462"/>
        <v>307.56334975369458</v>
      </c>
      <c r="Y250" s="3">
        <f t="shared" si="462"/>
        <v>326.43079812206571</v>
      </c>
      <c r="Z250" s="3">
        <f t="shared" si="462"/>
        <v>319.69678571428574</v>
      </c>
      <c r="AA250" s="3">
        <f t="shared" si="462"/>
        <v>329.32154506437769</v>
      </c>
      <c r="AB250" s="3">
        <f t="shared" si="462"/>
        <v>331.57695473251027</v>
      </c>
      <c r="AC250" s="3">
        <f t="shared" si="462"/>
        <v>344.35374999999999</v>
      </c>
    </row>
    <row r="251" spans="1:32" x14ac:dyDescent="0.35">
      <c r="A251" s="1" t="s">
        <v>118</v>
      </c>
      <c r="B251" s="3">
        <v>48.98</v>
      </c>
      <c r="C251" s="3">
        <f t="shared" ref="C251:I251" si="463">C3/(AVERAGE(B247:C247))</f>
        <v>46.595601374570442</v>
      </c>
      <c r="D251" s="3">
        <f t="shared" si="463"/>
        <v>46.23602649006623</v>
      </c>
      <c r="E251" s="3">
        <f t="shared" si="463"/>
        <v>52.78424507658643</v>
      </c>
      <c r="F251" s="3">
        <f t="shared" si="463"/>
        <v>59.88535068691251</v>
      </c>
      <c r="G251" s="3">
        <f t="shared" si="463"/>
        <v>69.965344603381013</v>
      </c>
      <c r="H251" s="3">
        <f t="shared" si="463"/>
        <v>78.0690672451193</v>
      </c>
      <c r="I251" s="3">
        <f t="shared" si="463"/>
        <v>86.510553077609273</v>
      </c>
      <c r="N251" s="3">
        <f>N3/(AVERAGE(E247,N247))</f>
        <v>51.566021352313165</v>
      </c>
      <c r="O251" s="3">
        <f t="shared" ref="O251:AC251" si="464">O3/(AVERAGE(N247:O247))</f>
        <v>53.901907514450869</v>
      </c>
      <c r="P251" s="3">
        <f t="shared" si="464"/>
        <v>57.653937256108257</v>
      </c>
      <c r="Q251" s="3">
        <f t="shared" si="464"/>
        <v>60.059057287889779</v>
      </c>
      <c r="R251" s="3">
        <f t="shared" si="464"/>
        <v>61.522464183381089</v>
      </c>
      <c r="S251" s="3">
        <f t="shared" si="464"/>
        <v>60.950864686468648</v>
      </c>
      <c r="T251" s="3">
        <f t="shared" si="464"/>
        <v>61.051931540342302</v>
      </c>
      <c r="U251" s="3">
        <f t="shared" si="464"/>
        <v>64.013503866745978</v>
      </c>
      <c r="V251" s="3">
        <f t="shared" si="464"/>
        <v>66.422357630979505</v>
      </c>
      <c r="W251" s="3">
        <f t="shared" si="464"/>
        <v>67.623243534482768</v>
      </c>
      <c r="X251" s="3">
        <f t="shared" si="464"/>
        <v>70.032966804979253</v>
      </c>
      <c r="Y251" s="3">
        <f t="shared" si="464"/>
        <v>73.075817258883248</v>
      </c>
      <c r="Z251" s="3">
        <f t="shared" si="464"/>
        <v>74.126711153479505</v>
      </c>
      <c r="AA251" s="3">
        <f t="shared" si="464"/>
        <v>71.286280357903706</v>
      </c>
      <c r="AB251" s="3">
        <f t="shared" si="464"/>
        <v>72.750153349475383</v>
      </c>
      <c r="AC251" s="3">
        <f t="shared" si="464"/>
        <v>78.050969818913487</v>
      </c>
    </row>
    <row r="252" spans="1:32" x14ac:dyDescent="0.35">
      <c r="A252" s="1" t="s">
        <v>215</v>
      </c>
      <c r="B252" s="3">
        <v>24.53</v>
      </c>
      <c r="C252" s="3">
        <f t="shared" ref="C252:I252" si="465">C15/(AVERAGE(B247:C247))</f>
        <v>25.619553264604811</v>
      </c>
      <c r="D252" s="3">
        <f t="shared" si="465"/>
        <v>29.760094607379372</v>
      </c>
      <c r="E252" s="3">
        <f t="shared" si="465"/>
        <v>23.607410649161196</v>
      </c>
      <c r="F252" s="3">
        <f t="shared" si="465"/>
        <v>15.858467100506145</v>
      </c>
      <c r="G252" s="3">
        <f t="shared" si="465"/>
        <v>26.40480997009103</v>
      </c>
      <c r="H252" s="3">
        <f t="shared" si="465"/>
        <v>32.6780043383948</v>
      </c>
      <c r="I252" s="3">
        <f t="shared" si="465"/>
        <v>35.35590544157003</v>
      </c>
      <c r="N252" s="3">
        <f>N15/(AVERAGE(E247,N247))*4</f>
        <v>3.0068042704626339</v>
      </c>
      <c r="O252" s="3">
        <f t="shared" ref="O252:AC252" si="466">O15/(AVERAGE(N247:O247))*4</f>
        <v>14.054393063583815</v>
      </c>
      <c r="P252" s="3">
        <f t="shared" si="466"/>
        <v>20.414155201170448</v>
      </c>
      <c r="Q252" s="3">
        <f t="shared" si="466"/>
        <v>26.212559825960842</v>
      </c>
      <c r="R252" s="3">
        <f t="shared" si="466"/>
        <v>17.45707736389685</v>
      </c>
      <c r="S252" s="3">
        <f t="shared" si="466"/>
        <v>27.203485148514851</v>
      </c>
      <c r="T252" s="3">
        <f t="shared" si="466"/>
        <v>27.85456658679707</v>
      </c>
      <c r="U252" s="3">
        <f t="shared" si="466"/>
        <v>30.510981558596072</v>
      </c>
      <c r="V252" s="3">
        <f t="shared" si="466"/>
        <v>30.122505694760822</v>
      </c>
      <c r="W252" s="3">
        <f t="shared" si="466"/>
        <v>30.265474137931037</v>
      </c>
      <c r="X252" s="3">
        <f t="shared" si="466"/>
        <v>32.383485477178425</v>
      </c>
      <c r="Y252" s="3">
        <f t="shared" si="466"/>
        <v>35.294294416243652</v>
      </c>
      <c r="Z252" s="3">
        <f t="shared" si="466"/>
        <v>34.133498570066735</v>
      </c>
      <c r="AA252" s="3">
        <f t="shared" si="466"/>
        <v>32.693617383894335</v>
      </c>
      <c r="AB252" s="3">
        <f t="shared" si="466"/>
        <v>32.515415657788537</v>
      </c>
      <c r="AC252" s="3">
        <f t="shared" si="466"/>
        <v>35.474672032193155</v>
      </c>
    </row>
    <row r="254" spans="1:32" s="5" customFormat="1" x14ac:dyDescent="0.35">
      <c r="A254" s="5" t="s">
        <v>121</v>
      </c>
      <c r="B254" s="22" t="str">
        <f t="shared" ref="B254:I254" si="467">B$1</f>
        <v>FY17</v>
      </c>
      <c r="C254" s="22" t="str">
        <f t="shared" si="467"/>
        <v>FY18</v>
      </c>
      <c r="D254" s="22" t="str">
        <f t="shared" si="467"/>
        <v>FY19</v>
      </c>
      <c r="E254" s="22" t="str">
        <f t="shared" si="467"/>
        <v>FY20</v>
      </c>
      <c r="F254" s="22" t="str">
        <f t="shared" si="467"/>
        <v>FY21</v>
      </c>
      <c r="G254" s="22" t="str">
        <f t="shared" si="467"/>
        <v>FY22</v>
      </c>
      <c r="H254" s="22" t="str">
        <f t="shared" si="467"/>
        <v>FY23</v>
      </c>
      <c r="I254" s="22" t="str">
        <f t="shared" si="467"/>
        <v>FY24</v>
      </c>
      <c r="J254" s="22"/>
      <c r="N254" s="6"/>
      <c r="O254" s="6"/>
      <c r="P254" s="80"/>
      <c r="Q254" s="6"/>
      <c r="R254" s="6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6"/>
      <c r="AE254" s="6"/>
      <c r="AF254" s="6"/>
    </row>
    <row r="255" spans="1:32" x14ac:dyDescent="0.35">
      <c r="A255" s="1" t="s">
        <v>66</v>
      </c>
      <c r="D255" s="26">
        <v>1501</v>
      </c>
      <c r="E255" s="26">
        <v>1804</v>
      </c>
      <c r="F255" s="26">
        <v>952</v>
      </c>
      <c r="G255" s="26">
        <v>1114</v>
      </c>
      <c r="H255" s="26">
        <v>1363</v>
      </c>
      <c r="I255" s="26">
        <v>1326</v>
      </c>
      <c r="J255" s="26"/>
    </row>
    <row r="256" spans="1:32" x14ac:dyDescent="0.35">
      <c r="A256" s="1" t="s">
        <v>67</v>
      </c>
      <c r="D256" s="26">
        <v>5948</v>
      </c>
      <c r="E256" s="26">
        <v>3601</v>
      </c>
      <c r="F256" s="26">
        <v>1866</v>
      </c>
      <c r="G256" s="26">
        <v>2452</v>
      </c>
      <c r="H256" s="26">
        <v>2545</v>
      </c>
      <c r="I256" s="26">
        <v>3057</v>
      </c>
      <c r="J256" s="26"/>
    </row>
    <row r="257" spans="1:32" x14ac:dyDescent="0.35">
      <c r="A257" s="1" t="s">
        <v>68</v>
      </c>
      <c r="D257" s="26">
        <v>9555</v>
      </c>
      <c r="E257" s="26">
        <v>10745</v>
      </c>
      <c r="F257" s="26">
        <v>7958</v>
      </c>
      <c r="G257" s="26">
        <v>15125</v>
      </c>
      <c r="H257" s="26">
        <v>22579</v>
      </c>
      <c r="I257" s="26">
        <v>28598</v>
      </c>
      <c r="J257" s="26"/>
    </row>
    <row r="258" spans="1:32" x14ac:dyDescent="0.35">
      <c r="A258" s="1" t="s">
        <v>69</v>
      </c>
      <c r="D258" s="26">
        <v>261</v>
      </c>
      <c r="E258" s="26">
        <v>840</v>
      </c>
      <c r="F258" s="26">
        <v>784</v>
      </c>
      <c r="G258" s="26">
        <v>963</v>
      </c>
      <c r="H258" s="26">
        <v>955</v>
      </c>
      <c r="I258" s="26">
        <v>1052</v>
      </c>
      <c r="J258" s="26"/>
    </row>
    <row r="259" spans="1:32" x14ac:dyDescent="0.35">
      <c r="A259" s="1" t="s">
        <v>70</v>
      </c>
      <c r="D259" s="26">
        <v>152</v>
      </c>
      <c r="E259" s="26">
        <v>449</v>
      </c>
      <c r="F259" s="26">
        <v>287</v>
      </c>
      <c r="G259" s="26">
        <v>338</v>
      </c>
      <c r="H259" s="26">
        <v>465</v>
      </c>
      <c r="I259" s="26">
        <v>349</v>
      </c>
      <c r="J259" s="26"/>
    </row>
    <row r="260" spans="1:32" x14ac:dyDescent="0.35">
      <c r="A260" s="1" t="s">
        <v>120</v>
      </c>
      <c r="D260" s="26">
        <v>1272</v>
      </c>
      <c r="E260" s="26">
        <v>1491</v>
      </c>
      <c r="F260" s="26">
        <v>513</v>
      </c>
      <c r="G260" s="26">
        <v>729</v>
      </c>
      <c r="H260" s="26">
        <v>1161</v>
      </c>
      <c r="I260" s="26">
        <v>1461</v>
      </c>
      <c r="J260" s="26"/>
    </row>
    <row r="261" spans="1:32" x14ac:dyDescent="0.35">
      <c r="A261" s="1" t="s">
        <v>71</v>
      </c>
      <c r="D261" s="26">
        <v>318</v>
      </c>
      <c r="E261" s="26">
        <v>405</v>
      </c>
      <c r="F261" s="26">
        <v>320</v>
      </c>
      <c r="G261" s="26">
        <v>394</v>
      </c>
      <c r="H261" s="26">
        <v>631</v>
      </c>
      <c r="I261" s="26">
        <v>929</v>
      </c>
      <c r="J261" s="26"/>
    </row>
    <row r="262" spans="1:32" x14ac:dyDescent="0.35">
      <c r="A262" s="1" t="s">
        <v>72</v>
      </c>
      <c r="D262" s="26">
        <v>0</v>
      </c>
      <c r="E262" s="26">
        <v>146</v>
      </c>
      <c r="F262" s="26">
        <v>118</v>
      </c>
      <c r="G262" s="26">
        <v>290</v>
      </c>
      <c r="H262" s="26">
        <v>487</v>
      </c>
      <c r="I262" s="26">
        <v>606</v>
      </c>
      <c r="J262" s="26"/>
    </row>
    <row r="263" spans="1:32" s="2" customFormat="1" x14ac:dyDescent="0.35">
      <c r="A263" s="2" t="s">
        <v>35</v>
      </c>
      <c r="B263" s="4"/>
      <c r="C263" s="4"/>
      <c r="D263" s="4">
        <f t="shared" ref="D263:H263" si="468">SUM(D255:D262)</f>
        <v>19007</v>
      </c>
      <c r="E263" s="4">
        <f t="shared" si="468"/>
        <v>19481</v>
      </c>
      <c r="F263" s="4">
        <f t="shared" si="468"/>
        <v>12798</v>
      </c>
      <c r="G263" s="4">
        <f t="shared" si="468"/>
        <v>21405</v>
      </c>
      <c r="H263" s="4">
        <f t="shared" si="468"/>
        <v>30186</v>
      </c>
      <c r="I263" s="4">
        <f>SUM(I255:I262)</f>
        <v>37378</v>
      </c>
      <c r="J263" s="4"/>
      <c r="N263" s="4"/>
      <c r="O263" s="4"/>
      <c r="P263" s="34"/>
      <c r="Q263" s="4"/>
      <c r="R263" s="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70"/>
      <c r="AE263" s="70"/>
      <c r="AF263" s="70"/>
    </row>
    <row r="265" spans="1:32" s="5" customFormat="1" x14ac:dyDescent="0.35">
      <c r="A265" s="5" t="s">
        <v>3</v>
      </c>
      <c r="B265" s="22"/>
      <c r="C265" s="22"/>
      <c r="D265" s="22"/>
      <c r="E265" s="22"/>
      <c r="F265" s="22"/>
      <c r="G265" s="22"/>
      <c r="H265" s="22"/>
      <c r="I265" s="22"/>
      <c r="J265" s="22"/>
      <c r="N265" s="6"/>
      <c r="O265" s="6"/>
      <c r="P265" s="80"/>
      <c r="Q265" s="6"/>
      <c r="R265" s="6"/>
      <c r="S265" s="80"/>
      <c r="T265" s="80"/>
      <c r="U265" s="80"/>
      <c r="V265" s="80" t="str">
        <f t="shared" ref="V265:AC265" si="469">V$1</f>
        <v>Q1FY23</v>
      </c>
      <c r="W265" s="80" t="str">
        <f t="shared" si="469"/>
        <v>Q2FY23</v>
      </c>
      <c r="X265" s="80" t="str">
        <f t="shared" si="469"/>
        <v>Q3FY23</v>
      </c>
      <c r="Y265" s="80" t="str">
        <f t="shared" si="469"/>
        <v>Q4FY23</v>
      </c>
      <c r="Z265" s="80" t="str">
        <f t="shared" si="469"/>
        <v>Q1FY24</v>
      </c>
      <c r="AA265" s="80" t="str">
        <f t="shared" si="469"/>
        <v>Q2FY24</v>
      </c>
      <c r="AB265" s="80" t="str">
        <f t="shared" si="469"/>
        <v>Q3FY24</v>
      </c>
      <c r="AC265" s="80" t="str">
        <f t="shared" si="469"/>
        <v>Q4FY24</v>
      </c>
      <c r="AD265" s="6"/>
      <c r="AE265" s="6"/>
      <c r="AF265" s="6"/>
    </row>
    <row r="266" spans="1:32" x14ac:dyDescent="0.35">
      <c r="A266" s="1" t="s">
        <v>20</v>
      </c>
      <c r="E266" s="1"/>
      <c r="G266" s="39"/>
      <c r="H266" s="39"/>
      <c r="I266" s="39"/>
      <c r="U266" s="1" t="s">
        <v>4</v>
      </c>
      <c r="V266" s="3" t="s">
        <v>213</v>
      </c>
      <c r="W266" s="3" t="s">
        <v>213</v>
      </c>
      <c r="X266" s="3" t="s">
        <v>213</v>
      </c>
      <c r="Y266" s="3" t="s">
        <v>213</v>
      </c>
      <c r="Z266" s="3" t="s">
        <v>213</v>
      </c>
      <c r="AA266" s="3" t="s">
        <v>213</v>
      </c>
      <c r="AB266" s="3" t="s">
        <v>213</v>
      </c>
      <c r="AC266" s="3" t="s">
        <v>213</v>
      </c>
    </row>
    <row r="267" spans="1:32" x14ac:dyDescent="0.35">
      <c r="A267" s="1" t="s">
        <v>21</v>
      </c>
      <c r="E267" s="1"/>
      <c r="U267" s="1" t="s">
        <v>4</v>
      </c>
      <c r="V267" s="3" t="s">
        <v>213</v>
      </c>
      <c r="W267" s="3" t="s">
        <v>213</v>
      </c>
      <c r="X267" s="3" t="s">
        <v>213</v>
      </c>
      <c r="Y267" s="3" t="s">
        <v>213</v>
      </c>
      <c r="Z267" s="3" t="s">
        <v>213</v>
      </c>
      <c r="AA267" s="3" t="s">
        <v>213</v>
      </c>
      <c r="AB267" s="3" t="s">
        <v>213</v>
      </c>
      <c r="AC267" s="3" t="s">
        <v>213</v>
      </c>
    </row>
    <row r="268" spans="1:32" s="3" customFormat="1" x14ac:dyDescent="0.35">
      <c r="A268" s="1" t="s">
        <v>20</v>
      </c>
      <c r="E268" s="1"/>
      <c r="K268" s="1"/>
      <c r="L268" s="1"/>
      <c r="P268" s="39"/>
      <c r="S268" s="39"/>
      <c r="T268" s="39"/>
      <c r="U268" s="1" t="s">
        <v>22</v>
      </c>
      <c r="V268" s="108" t="s">
        <v>24</v>
      </c>
      <c r="W268" s="108" t="s">
        <v>24</v>
      </c>
      <c r="X268" s="108" t="s">
        <v>24</v>
      </c>
      <c r="Y268" s="108" t="s">
        <v>24</v>
      </c>
      <c r="Z268" s="108" t="s">
        <v>24</v>
      </c>
      <c r="AA268" s="108" t="s">
        <v>24</v>
      </c>
      <c r="AB268" s="108" t="s">
        <v>24</v>
      </c>
      <c r="AC268" s="108" t="s">
        <v>24</v>
      </c>
      <c r="AD268" s="73"/>
      <c r="AE268" s="73"/>
      <c r="AF268" s="73"/>
    </row>
    <row r="269" spans="1:32" s="3" customFormat="1" x14ac:dyDescent="0.35">
      <c r="A269" s="1" t="s">
        <v>23</v>
      </c>
      <c r="E269" s="1"/>
      <c r="K269" s="1"/>
      <c r="L269" s="1"/>
      <c r="P269" s="39"/>
      <c r="S269" s="39"/>
      <c r="T269" s="39"/>
      <c r="U269" s="1" t="s">
        <v>22</v>
      </c>
      <c r="V269" s="108" t="s">
        <v>24</v>
      </c>
      <c r="W269" s="108" t="s">
        <v>24</v>
      </c>
      <c r="X269" s="108" t="s">
        <v>24</v>
      </c>
      <c r="Y269" s="108" t="s">
        <v>24</v>
      </c>
      <c r="Z269" s="108" t="s">
        <v>24</v>
      </c>
      <c r="AA269" s="108" t="s">
        <v>24</v>
      </c>
      <c r="AB269" s="108" t="s">
        <v>24</v>
      </c>
      <c r="AC269" s="108" t="s">
        <v>24</v>
      </c>
      <c r="AD269" s="73"/>
      <c r="AE269" s="73"/>
      <c r="AF269" s="73"/>
    </row>
    <row r="270" spans="1:32" s="3" customFormat="1" x14ac:dyDescent="0.35">
      <c r="A270" s="1" t="s">
        <v>23</v>
      </c>
      <c r="E270" s="1"/>
      <c r="F270" s="108"/>
      <c r="K270" s="1"/>
      <c r="L270" s="1"/>
      <c r="P270" s="39"/>
      <c r="S270" s="39"/>
      <c r="T270" s="39"/>
      <c r="U270" s="1" t="s">
        <v>4</v>
      </c>
      <c r="V270" s="3" t="s">
        <v>213</v>
      </c>
      <c r="W270" s="3" t="s">
        <v>213</v>
      </c>
      <c r="X270" s="3" t="s">
        <v>213</v>
      </c>
      <c r="Y270" s="3" t="s">
        <v>213</v>
      </c>
      <c r="Z270" s="3" t="s">
        <v>213</v>
      </c>
      <c r="AA270" s="3" t="s">
        <v>213</v>
      </c>
      <c r="AB270" s="3" t="s">
        <v>213</v>
      </c>
      <c r="AC270" s="3" t="s">
        <v>250</v>
      </c>
      <c r="AD270" s="73"/>
      <c r="AE270" s="73"/>
      <c r="AF270" s="73"/>
    </row>
    <row r="272" spans="1:32" s="6" customFormat="1" x14ac:dyDescent="0.35">
      <c r="A272" s="59" t="s">
        <v>52</v>
      </c>
      <c r="F272" s="60" t="s">
        <v>51</v>
      </c>
      <c r="G272" s="60"/>
      <c r="H272" s="60"/>
      <c r="I272" s="60"/>
      <c r="J272" s="60"/>
      <c r="K272" s="5"/>
      <c r="L272" s="5"/>
      <c r="N272" s="61"/>
      <c r="O272" s="61"/>
      <c r="P272" s="80"/>
      <c r="Q272" s="61"/>
      <c r="R272" s="61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74"/>
      <c r="AE272" s="74"/>
      <c r="AF272" s="74"/>
    </row>
    <row r="273" spans="1:32" s="3" customFormat="1" x14ac:dyDescent="0.35">
      <c r="A273" s="18" t="s">
        <v>54</v>
      </c>
      <c r="F273" s="40">
        <v>11.7</v>
      </c>
      <c r="G273" s="40"/>
      <c r="H273" s="40"/>
      <c r="I273" s="40"/>
      <c r="J273" s="40"/>
      <c r="K273" s="1"/>
      <c r="L273" s="1"/>
      <c r="P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73"/>
      <c r="AE273" s="73"/>
      <c r="AF273" s="73"/>
    </row>
    <row r="274" spans="1:32" s="3" customFormat="1" x14ac:dyDescent="0.35">
      <c r="A274" s="18" t="s">
        <v>55</v>
      </c>
      <c r="F274" s="40">
        <v>10.8</v>
      </c>
      <c r="G274" s="40"/>
      <c r="H274" s="40"/>
      <c r="I274" s="40"/>
      <c r="J274" s="40"/>
      <c r="K274" s="1"/>
      <c r="L274" s="1"/>
      <c r="P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73"/>
      <c r="AE274" s="73"/>
      <c r="AF274" s="73"/>
    </row>
    <row r="275" spans="1:32" s="3" customFormat="1" x14ac:dyDescent="0.35">
      <c r="A275" s="18" t="s">
        <v>56</v>
      </c>
      <c r="F275" s="40">
        <v>10.199999999999999</v>
      </c>
      <c r="G275" s="40"/>
      <c r="H275" s="40"/>
      <c r="I275" s="40"/>
      <c r="J275" s="40"/>
      <c r="K275" s="1"/>
      <c r="L275" s="1"/>
      <c r="P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73"/>
      <c r="AE275" s="73"/>
      <c r="AF275" s="73"/>
    </row>
    <row r="276" spans="1:32" s="3" customFormat="1" x14ac:dyDescent="0.35">
      <c r="A276" s="18" t="s">
        <v>57</v>
      </c>
      <c r="F276" s="40">
        <v>9.1999999999999993</v>
      </c>
      <c r="G276" s="40"/>
      <c r="H276" s="40"/>
      <c r="I276" s="40"/>
      <c r="J276" s="40"/>
      <c r="K276" s="1"/>
      <c r="L276" s="1"/>
      <c r="P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73"/>
      <c r="AE276" s="73"/>
      <c r="AF276" s="73"/>
    </row>
    <row r="277" spans="1:32" s="3" customFormat="1" x14ac:dyDescent="0.35">
      <c r="A277" s="18" t="s">
        <v>53</v>
      </c>
      <c r="F277" s="40">
        <v>9.5</v>
      </c>
      <c r="G277" s="40"/>
      <c r="H277" s="40"/>
      <c r="I277" s="40"/>
      <c r="J277" s="40"/>
      <c r="K277" s="1"/>
      <c r="L277" s="1"/>
      <c r="P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73"/>
      <c r="AE277" s="73"/>
      <c r="AF277" s="73"/>
    </row>
    <row r="278" spans="1:32" s="3" customFormat="1" x14ac:dyDescent="0.35">
      <c r="A278" s="18" t="s">
        <v>58</v>
      </c>
      <c r="F278" s="40">
        <v>10</v>
      </c>
      <c r="G278" s="40"/>
      <c r="H278" s="40"/>
      <c r="I278" s="40"/>
      <c r="J278" s="40"/>
      <c r="K278" s="1"/>
      <c r="L278" s="1"/>
      <c r="P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73"/>
      <c r="AE278" s="73"/>
      <c r="AF278" s="73"/>
    </row>
    <row r="279" spans="1:32" s="3" customFormat="1" x14ac:dyDescent="0.35">
      <c r="A279" s="18" t="s">
        <v>36</v>
      </c>
      <c r="F279" s="40">
        <v>10.9</v>
      </c>
      <c r="G279" s="40"/>
      <c r="H279" s="40"/>
      <c r="I279" s="40"/>
      <c r="J279" s="40"/>
      <c r="K279" s="1"/>
      <c r="L279" s="1"/>
      <c r="P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73"/>
      <c r="AE279" s="73"/>
      <c r="AF279" s="73"/>
    </row>
    <row r="280" spans="1:32" s="3" customFormat="1" x14ac:dyDescent="0.35">
      <c r="A280" s="18" t="s">
        <v>37</v>
      </c>
      <c r="F280" s="40">
        <v>10.5</v>
      </c>
      <c r="G280" s="40"/>
      <c r="H280" s="40"/>
      <c r="I280" s="40"/>
      <c r="J280" s="40"/>
      <c r="K280" s="1"/>
      <c r="L280" s="1"/>
      <c r="P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73"/>
      <c r="AE280" s="73"/>
      <c r="AF280" s="73"/>
    </row>
    <row r="281" spans="1:32" s="3" customFormat="1" x14ac:dyDescent="0.35">
      <c r="A281" s="18" t="s">
        <v>38</v>
      </c>
      <c r="F281" s="40">
        <v>36.4</v>
      </c>
      <c r="G281" s="40"/>
      <c r="H281" s="40"/>
      <c r="I281" s="40"/>
      <c r="J281" s="40"/>
      <c r="K281" s="1"/>
      <c r="L281" s="1"/>
      <c r="P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73"/>
      <c r="AE281" s="73"/>
      <c r="AF281" s="73"/>
    </row>
    <row r="282" spans="1:32" s="3" customFormat="1" x14ac:dyDescent="0.35">
      <c r="A282" s="18" t="s">
        <v>39</v>
      </c>
      <c r="F282" s="40">
        <v>28.3</v>
      </c>
      <c r="G282" s="40"/>
      <c r="H282" s="40"/>
      <c r="I282" s="40"/>
      <c r="J282" s="40"/>
      <c r="K282" s="1"/>
      <c r="L282" s="1"/>
      <c r="P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73"/>
      <c r="AE282" s="73"/>
      <c r="AF282" s="73"/>
    </row>
    <row r="283" spans="1:32" s="3" customFormat="1" x14ac:dyDescent="0.35">
      <c r="A283" s="18" t="s">
        <v>40</v>
      </c>
      <c r="F283" s="41">
        <v>20.100000000000001</v>
      </c>
      <c r="G283" s="41"/>
      <c r="H283" s="41"/>
      <c r="I283" s="41"/>
      <c r="J283" s="41"/>
      <c r="K283" s="1"/>
      <c r="L283" s="1"/>
      <c r="P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73"/>
      <c r="AE283" s="73"/>
      <c r="AF283" s="73"/>
    </row>
    <row r="284" spans="1:32" s="3" customFormat="1" x14ac:dyDescent="0.35">
      <c r="A284" s="18" t="s">
        <v>74</v>
      </c>
      <c r="F284" s="41">
        <v>17.3</v>
      </c>
      <c r="G284" s="41"/>
      <c r="H284" s="41"/>
      <c r="I284" s="41"/>
      <c r="J284" s="41"/>
      <c r="K284" s="1"/>
      <c r="L284" s="1"/>
      <c r="P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73"/>
      <c r="AE284" s="73"/>
      <c r="AF284" s="73"/>
    </row>
    <row r="285" spans="1:32" s="3" customFormat="1" x14ac:dyDescent="0.35">
      <c r="A285" s="18" t="s">
        <v>186</v>
      </c>
      <c r="F285" s="41">
        <v>18.3</v>
      </c>
      <c r="G285" s="41"/>
      <c r="H285" s="41"/>
      <c r="I285" s="41"/>
      <c r="J285" s="41"/>
      <c r="K285" s="1"/>
      <c r="L285" s="1"/>
      <c r="P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73"/>
      <c r="AE285" s="73"/>
      <c r="AF285" s="73"/>
    </row>
    <row r="286" spans="1:32" x14ac:dyDescent="0.35">
      <c r="A286" s="18" t="s">
        <v>191</v>
      </c>
      <c r="F286" s="41">
        <v>16.5</v>
      </c>
      <c r="G286" s="41"/>
      <c r="H286" s="41"/>
      <c r="I286" s="41"/>
      <c r="J286" s="41"/>
    </row>
    <row r="287" spans="1:32" x14ac:dyDescent="0.35">
      <c r="A287" s="18" t="s">
        <v>204</v>
      </c>
      <c r="F287" s="41">
        <v>15.7</v>
      </c>
      <c r="G287" s="41"/>
      <c r="H287" s="41"/>
      <c r="I287" s="41"/>
    </row>
    <row r="288" spans="1:32" x14ac:dyDescent="0.35">
      <c r="A288" s="18" t="s">
        <v>212</v>
      </c>
      <c r="F288" s="41">
        <v>14.5</v>
      </c>
    </row>
    <row r="289" spans="1:18" x14ac:dyDescent="0.35">
      <c r="A289" s="18" t="s">
        <v>223</v>
      </c>
      <c r="F289" s="41">
        <v>14</v>
      </c>
    </row>
    <row r="290" spans="1:18" x14ac:dyDescent="0.35">
      <c r="A290" s="18" t="s">
        <v>226</v>
      </c>
      <c r="F290" s="41">
        <v>15.61</v>
      </c>
    </row>
    <row r="291" spans="1:18" x14ac:dyDescent="0.35">
      <c r="A291" s="18" t="s">
        <v>227</v>
      </c>
      <c r="F291" s="41">
        <v>14.88</v>
      </c>
    </row>
    <row r="292" spans="1:18" x14ac:dyDescent="0.35">
      <c r="A292" s="18" t="s">
        <v>229</v>
      </c>
      <c r="F292" s="41">
        <v>13.61</v>
      </c>
    </row>
    <row r="293" spans="1:18" x14ac:dyDescent="0.35">
      <c r="A293" s="18" t="s">
        <v>233</v>
      </c>
      <c r="F293" s="41">
        <v>15</v>
      </c>
    </row>
    <row r="294" spans="1:18" x14ac:dyDescent="0.35">
      <c r="A294" s="18" t="s">
        <v>236</v>
      </c>
      <c r="F294" s="41">
        <v>14.23</v>
      </c>
    </row>
    <row r="295" spans="1:18" x14ac:dyDescent="0.35">
      <c r="A295" s="18" t="s">
        <v>237</v>
      </c>
      <c r="F295" s="41">
        <v>15.11</v>
      </c>
    </row>
    <row r="296" spans="1:18" x14ac:dyDescent="0.35">
      <c r="A296" s="18" t="s">
        <v>249</v>
      </c>
      <c r="F296" s="41">
        <v>14.66</v>
      </c>
    </row>
    <row r="298" spans="1:18" x14ac:dyDescent="0.35">
      <c r="A298" s="2" t="s">
        <v>221</v>
      </c>
      <c r="F298" s="7"/>
      <c r="G298" s="7"/>
      <c r="H298" s="7"/>
      <c r="I298" s="7"/>
      <c r="J298" s="7"/>
      <c r="N298" s="39"/>
      <c r="O298" s="39"/>
      <c r="Q298" s="39"/>
      <c r="R298" s="39"/>
    </row>
    <row r="299" spans="1:18" ht="72.5" x14ac:dyDescent="0.35">
      <c r="A299" s="1" t="s">
        <v>219</v>
      </c>
      <c r="B299" s="101"/>
      <c r="C299" s="101"/>
      <c r="D299" s="101"/>
      <c r="E299" s="101"/>
      <c r="F299" s="102" t="s">
        <v>216</v>
      </c>
      <c r="G299" s="102"/>
      <c r="H299" s="102"/>
      <c r="I299" s="102"/>
      <c r="J299" s="7"/>
      <c r="N299" s="39"/>
      <c r="O299" s="39"/>
      <c r="Q299" s="39"/>
      <c r="R299" s="39"/>
    </row>
    <row r="300" spans="1:18" ht="72.5" x14ac:dyDescent="0.35">
      <c r="A300" s="1" t="s">
        <v>195</v>
      </c>
      <c r="B300" s="102" t="s">
        <v>216</v>
      </c>
      <c r="C300" s="102" t="s">
        <v>216</v>
      </c>
      <c r="D300" s="102" t="s">
        <v>216</v>
      </c>
      <c r="E300" s="102" t="s">
        <v>216</v>
      </c>
      <c r="F300" s="103" t="s">
        <v>218</v>
      </c>
      <c r="G300" s="103"/>
      <c r="H300" s="103"/>
      <c r="I300" s="103"/>
      <c r="J300" s="7"/>
      <c r="N300" s="39"/>
      <c r="O300" s="39"/>
      <c r="Q300" s="39"/>
      <c r="R300" s="39"/>
    </row>
    <row r="301" spans="1:18" ht="72.5" x14ac:dyDescent="0.35">
      <c r="A301" s="1" t="s">
        <v>196</v>
      </c>
      <c r="B301" s="104" t="s">
        <v>217</v>
      </c>
      <c r="C301" s="104" t="s">
        <v>217</v>
      </c>
      <c r="D301" s="104" t="s">
        <v>217</v>
      </c>
      <c r="E301" s="104" t="s">
        <v>217</v>
      </c>
      <c r="F301" s="105"/>
      <c r="G301" s="105"/>
      <c r="H301" s="105"/>
      <c r="I301" s="105"/>
      <c r="J301" s="7"/>
      <c r="N301" s="39"/>
      <c r="O301" s="39"/>
      <c r="Q301" s="39"/>
      <c r="R301" s="39"/>
    </row>
    <row r="302" spans="1:18" ht="101.5" x14ac:dyDescent="0.35">
      <c r="A302" s="1" t="s">
        <v>198</v>
      </c>
      <c r="B302" s="101"/>
      <c r="C302" s="101"/>
      <c r="D302" s="101"/>
      <c r="E302" s="101"/>
      <c r="F302" s="106" t="s">
        <v>220</v>
      </c>
      <c r="G302" s="106"/>
      <c r="H302" s="106"/>
      <c r="I302" s="106"/>
      <c r="J302" s="7"/>
      <c r="N302" s="39"/>
      <c r="O302" s="39"/>
      <c r="Q302" s="39"/>
      <c r="R302" s="39"/>
    </row>
    <row r="303" spans="1:18" ht="101.5" x14ac:dyDescent="0.35">
      <c r="A303" s="1" t="s">
        <v>228</v>
      </c>
      <c r="B303" s="106" t="s">
        <v>220</v>
      </c>
      <c r="C303" s="106" t="s">
        <v>220</v>
      </c>
      <c r="D303" s="106" t="s">
        <v>220</v>
      </c>
      <c r="E303" s="106" t="s">
        <v>220</v>
      </c>
      <c r="F303" s="105"/>
      <c r="G303" s="105"/>
      <c r="H303" s="105"/>
      <c r="I303" s="105"/>
      <c r="J303" s="7"/>
      <c r="N303" s="39"/>
      <c r="O303" s="39"/>
      <c r="Q303" s="39"/>
      <c r="R303" s="39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Shrey</cp:lastModifiedBy>
  <cp:lastPrinted>2021-10-26T13:30:36Z</cp:lastPrinted>
  <dcterms:created xsi:type="dcterms:W3CDTF">2016-12-05T07:57:40Z</dcterms:created>
  <dcterms:modified xsi:type="dcterms:W3CDTF">2024-05-08T11:35:17Z</dcterms:modified>
</cp:coreProperties>
</file>