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IR\FY24\Q4FY24\Final\"/>
    </mc:Choice>
  </mc:AlternateContent>
  <xr:revisionPtr revIDLastSave="0" documentId="13_ncr:1_{8C0E08CB-D197-45B4-9B58-FCA0F53161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sheet" sheetId="11" r:id="rId1"/>
  </sheets>
  <definedNames>
    <definedName name="__123Graph_A" hidden="1">#REF!</definedName>
    <definedName name="__123Graph_ACAD" hidden="1">#N/A</definedName>
    <definedName name="__123Graph_ACAD1" hidden="1">#N/A</definedName>
    <definedName name="__123Graph_ACAD2" hidden="1">#N/A</definedName>
    <definedName name="__123Graph_ACOL" hidden="1">#REF!</definedName>
    <definedName name="__123Graph_ACOL2" hidden="1">#REF!</definedName>
    <definedName name="__123Graph_ACOL3" hidden="1">#REF!</definedName>
    <definedName name="__123Graph_AMM" hidden="1">#REF!</definedName>
    <definedName name="__123Graph_B" hidden="1">#REF!</definedName>
    <definedName name="__123Graph_BCAD" hidden="1">#N/A</definedName>
    <definedName name="__123Graph_BCAD1" hidden="1">#N/A</definedName>
    <definedName name="__123Graph_BCAD2" hidden="1">#N/A</definedName>
    <definedName name="__123Graph_BCOL" hidden="1">#REF!</definedName>
    <definedName name="__123Graph_BCOL2" hidden="1">#REF!</definedName>
    <definedName name="__123Graph_BCOL3" hidden="1">#REF!</definedName>
    <definedName name="__123Graph_BMM" hidden="1">#REF!</definedName>
    <definedName name="__123Graph_C" hidden="1">#REF!</definedName>
    <definedName name="__123Graph_CCAD" hidden="1">#N/A</definedName>
    <definedName name="__123Graph_CCAD1" hidden="1">#N/A</definedName>
    <definedName name="__123Graph_CCAD2" hidden="1">#N/A</definedName>
    <definedName name="__123Graph_CCOL" hidden="1">#REF!</definedName>
    <definedName name="__123Graph_CCOL2" hidden="1">#REF!</definedName>
    <definedName name="__123Graph_CCOL3" hidden="1">#REF!</definedName>
    <definedName name="__123Graph_D" hidden="1">#REF!</definedName>
    <definedName name="__123Graph_DCAD" hidden="1">#N/A</definedName>
    <definedName name="__123Graph_DCAD1" hidden="1">#N/A</definedName>
    <definedName name="__123Graph_DCAD2" hidden="1">#N/A</definedName>
    <definedName name="__123Graph_DCOL" hidden="1">#REF!</definedName>
    <definedName name="__123Graph_DCOL2" hidden="1">#REF!</definedName>
    <definedName name="__123Graph_DCOL3" hidden="1">#REF!</definedName>
    <definedName name="__123Graph_E" hidden="1">#REF!</definedName>
    <definedName name="__123Graph_ECAD" hidden="1">#N/A</definedName>
    <definedName name="__123Graph_ECAD1" hidden="1">#N/A</definedName>
    <definedName name="__123Graph_ECAD2" hidden="1">#N/A</definedName>
    <definedName name="__123Graph_ECOL" hidden="1">#REF!</definedName>
    <definedName name="__123Graph_ECOL2" hidden="1">#REF!</definedName>
    <definedName name="__123Graph_ECOL3" hidden="1">#REF!</definedName>
    <definedName name="__123Graph_F" hidden="1">#REF!</definedName>
    <definedName name="__123Graph_FCAD2" hidden="1">#N/A</definedName>
    <definedName name="__123Graph_FCOL3" hidden="1">#REF!</definedName>
    <definedName name="__123Graph_X" hidden="1">#REF!</definedName>
    <definedName name="__123Graph_XCAD" hidden="1">#N/A</definedName>
    <definedName name="__123Graph_XCAD1" hidden="1">#N/A</definedName>
    <definedName name="__123Graph_XCAD2" hidden="1">#N/A</definedName>
    <definedName name="__123Graph_XCOL" hidden="1">#REF!</definedName>
    <definedName name="__123Graph_XCOL2" hidden="1">#REF!</definedName>
    <definedName name="__123Graph_XCOL3" hidden="1">#REF!</definedName>
    <definedName name="__123Graph_XMM" hidden="1">#REF!</definedName>
    <definedName name="_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FDS_HYPERLINK_TOGGLE_STATE__" hidden="1">"ON"</definedName>
    <definedName name="__key1" hidden="1">#REF!</definedName>
    <definedName name="_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wrn2" hidden="1">{#N/A,#N/A,FALSE,"INPUTS";#N/A,#N/A,FALSE,"PROFORMA BSHEET";#N/A,#N/A,FALSE,"COMBINED";#N/A,#N/A,FALSE,"HIGH YIELD";#N/A,#N/A,FALSE,"COMB_GRAPHS"}</definedName>
    <definedName name="__wrn3" hidden="1">{#N/A,#N/A,FALSE,"ACQ_GRAPHS";#N/A,#N/A,FALSE,"T_1 GRAPHS";#N/A,#N/A,FALSE,"T_2 GRAPHS";#N/A,#N/A,FALSE,"COMB_GRAPHS"}</definedName>
    <definedName name="__wrn4" hidden="1">{"vi1",#N/A,FALSE,"Financial Statements";"vi2",#N/A,FALSE,"Financial Statements";#N/A,#N/A,FALSE,"DCF"}</definedName>
    <definedName name="__wrn5" hidden="1">{#N/A,#N/A,FALSE,"Valuation Assumptions";#N/A,#N/A,FALSE,"Summary";#N/A,#N/A,FALSE,"DCF";#N/A,#N/A,FALSE,"Valuation";#N/A,#N/A,FALSE,"WACC";#N/A,#N/A,FALSE,"UBVH";#N/A,#N/A,FALSE,"Free Cash Flow"}</definedName>
    <definedName name="_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_1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9"}</definedName>
    <definedName name="_390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20"}</definedName>
    <definedName name="_391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19"}</definedName>
    <definedName name="_392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18"}</definedName>
    <definedName name="_393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17"}</definedName>
    <definedName name="_39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16"}</definedName>
    <definedName name="_39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15"}</definedName>
    <definedName name="_39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14"}</definedName>
    <definedName name="_39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13"}</definedName>
    <definedName name="_39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12"}</definedName>
    <definedName name="_39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11"}</definedName>
    <definedName name="_40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10"}</definedName>
    <definedName name="_402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8"}</definedName>
    <definedName name="_403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7"}</definedName>
    <definedName name="_40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6"}</definedName>
    <definedName name="_40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5"}</definedName>
    <definedName name="_40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4"}</definedName>
    <definedName name="_40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3"}</definedName>
    <definedName name="_40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2"}</definedName>
    <definedName name="_40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"}</definedName>
    <definedName name="_41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0"}</definedName>
    <definedName name="_bdm.004C37995C09483C93DF718B10CFA763.edm" hidden="1">#REF!</definedName>
    <definedName name="_bdm.04FE7CAABE2F4D88BECA7632B82B7208.edm" hidden="1">#REF!</definedName>
    <definedName name="_bdm.094C58458A2B44BBAC4D252CE7067B11.edm" hidden="1">#REF!</definedName>
    <definedName name="_bdm.096912D6BD894341950BB3101731246C.edm" hidden="1">#REF!</definedName>
    <definedName name="_bdm.0C83AB56634B42438F5E7763F8625CFF.edm" hidden="1">#REF!</definedName>
    <definedName name="_bdm.115C4E396E6E4986A6AB96FA735EF3B2.edm" hidden="1">#REF!</definedName>
    <definedName name="_bdm.1206A226E66E47F48C1DA11DA7E6C9AD.edm" hidden="1">#REF!</definedName>
    <definedName name="_bdm.14413902628545EB8AFC3F7F2181B764.edm" hidden="1">#REF!</definedName>
    <definedName name="_bdm.17D1EB2C73074A13862FCAF47C85EB31.edm" hidden="1">#REF!</definedName>
    <definedName name="_bdm.197C6204AA8942268C0EAA0EA2F9DA9E.edm" hidden="1">#REF!</definedName>
    <definedName name="_bdm.1D9C7D98F6F94A09A1E682D64612B397.edm" hidden="1">#REF!</definedName>
    <definedName name="_bdm.1DB1BB9ADC124613A7BDADF9D9740674.edm" hidden="1">#REF!</definedName>
    <definedName name="_bdm.1EC21F20C31441509DA78C719696571F.edm" hidden="1">#REF!</definedName>
    <definedName name="_bdm.1ED5C95DA1CC499098EC981D3614D8A6.edm" hidden="1">#REF!</definedName>
    <definedName name="_bdm.237F2B71A7AA4C7B8C3357360CC28066.edm" hidden="1">#REF!</definedName>
    <definedName name="_bdm.2380E8637B9E434D8B3C71222DA542DF.edm" hidden="1">#REF!</definedName>
    <definedName name="_bdm.248518D4F01A4944B12F1963E33255FB.edm" hidden="1">#REF!</definedName>
    <definedName name="_bdm.25C4AECD5A4340F19CFF94B5552FAF39.edm" hidden="1">#REF!</definedName>
    <definedName name="_bdm.272F4669749D4D4DB46C48EC819CF07B.edm" hidden="1">#REF!</definedName>
    <definedName name="_bdm.28E190D2D4BE4463946049BF6356BCA1.edm" hidden="1">#REF!</definedName>
    <definedName name="_bdm.2D773FA9607D45698A83FA6035BD5612.edm" hidden="1">#REF!</definedName>
    <definedName name="_bdm.2F71B169FDA74723A30E4D2B202673CB.edm" hidden="1">#REF!</definedName>
    <definedName name="_bdm.32DF418D4CB2495FBA377B50D9101449.edm" hidden="1">#REF!</definedName>
    <definedName name="_bdm.3C7477B1D05747289EFF3AB428964716.edm" hidden="1">#REF!</definedName>
    <definedName name="_bdm.3FF0F8FB237249B89F89D81DC16CE898.edm" hidden="1">#REF!</definedName>
    <definedName name="_bdm.401EF00DDAC24165A07ED35C95B9C8BD.edm" hidden="1">#REF!</definedName>
    <definedName name="_bdm.4088DBDDD2B6492EAABEB673F849FA0A.edm" hidden="1">#REF!</definedName>
    <definedName name="_bdm.41B03FA0EB6D4C69B62849495D0FC036.edm" hidden="1">#REF!</definedName>
    <definedName name="_bdm.46E526C90DFB481BB5AB7B9DA5285F84.edm" hidden="1">#REF!</definedName>
    <definedName name="_bdm.4757E68B90D64135837CDCA4F9388AA5.edm" hidden="1">#REF!</definedName>
    <definedName name="_bdm.4C80DF51192D4A51864D101CAB4803E1.edm" hidden="1">#REF!</definedName>
    <definedName name="_bdm.4E3EB43BC12B40868FE6B962E849D303.edm" hidden="1">#REF!</definedName>
    <definedName name="_bdm.4E413215FF1348B6B26CC3C6AD895ED3.edm" hidden="1">#REF!</definedName>
    <definedName name="_bdm.4F84A905B0804D84839FAA4E5A4B4912.edm" hidden="1">#REF!</definedName>
    <definedName name="_bdm.4FF51D33FFB745A781375A27BAE7BC79.edm" hidden="1">#REF!</definedName>
    <definedName name="_bdm.53C14BB25F5F41B48872C76AEDB26B46.edm" hidden="1">#REF!</definedName>
    <definedName name="_bdm.5514D1CD1B8349F2A93F9BCDE8D9402B.edm" hidden="1">#REF!</definedName>
    <definedName name="_bdm.55A2A61B8A4A40939580CC24AB65D00C.edm" hidden="1">#REF!</definedName>
    <definedName name="_bdm.570CD1977E874E7BADDBF4C15305BA41.edm" hidden="1">#REF!</definedName>
    <definedName name="_bdm.5A30CEA5EF8E4B8EA325B48F239DF35B.edm" hidden="1">#REF!</definedName>
    <definedName name="_bdm.5DB187C83DDD4BD1AF5F244EA97A7826.edm" hidden="1">#REF!</definedName>
    <definedName name="_bdm.617755FC7788473289E4844C88F114E9.edm" hidden="1">#REF!</definedName>
    <definedName name="_bdm.617B424A191A4599931AE3D9BE0E4CCF.edm" hidden="1">#REF!</definedName>
    <definedName name="_bdm.618FCAC4F84D47169FF6325C4FCEF545.edm" hidden="1">#REF!</definedName>
    <definedName name="_bdm.6D94842FD7CD484F857BE0CC99F451FC.edm" hidden="1">#REF!</definedName>
    <definedName name="_bdm.6FB1281A5FD3406798B205BF3C27DC93.edm" hidden="1">#REF!</definedName>
    <definedName name="_bdm.709E638E6B5D4E3BABE3B688055F6417.edm" hidden="1">#REF!</definedName>
    <definedName name="_bdm.74B0B65D0F9E423FB22A0A9940E0C127.edm" hidden="1">#REF!</definedName>
    <definedName name="_bdm.754EE4ED8344469DBE03F187CEE64448.edm" hidden="1">#REF!</definedName>
    <definedName name="_bdm.7B248FE2BDC141ACA00F5AB922DC5AF9.edm" hidden="1">#REF!</definedName>
    <definedName name="_bdm.83BB4F8756504B11AEA4DFCBAEEA6007.edm" hidden="1">#REF!</definedName>
    <definedName name="_bdm.84F67F0222AF43EDA7A9ADE23B3BFFFE.edm" hidden="1">#REF!</definedName>
    <definedName name="_bdm.8680FD4C75CE4B9286E868CE59BC5ED1.edm" hidden="1">#REF!</definedName>
    <definedName name="_bdm.87D591145D654873914814CFADEBF27D.edm" hidden="1">#REF!</definedName>
    <definedName name="_bdm.896B36DED41C4C4D91EB7A2AE65F3E07.edm" hidden="1">#REF!</definedName>
    <definedName name="_bdm.8D3F59769C5E43ACB600D0E84EA0312F.edm" hidden="1">#REF!</definedName>
    <definedName name="_bdm.8E60147029764675857088454938EC2F.edm" hidden="1">#REF!</definedName>
    <definedName name="_bdm.91BCF8C300E74A81AD9747A1874491A2.edm" hidden="1">#REF!</definedName>
    <definedName name="_bdm.947884CDC5B84CB184BCAAA5FEA42022.edm" hidden="1">#REF!</definedName>
    <definedName name="_bdm.9ED738274CB4422C816E555F77634EE2.edm" hidden="1">#REF!</definedName>
    <definedName name="_bdm.A81274EE14D84B88942C8E15B43F4376.edm" hidden="1">#REF!</definedName>
    <definedName name="_bdm.AB834BB070074ECFBC3F82FA818E37CC.edm" hidden="1">#REF!</definedName>
    <definedName name="_bdm.B0330AE92155488CA3840228EBBC9B05.edm" hidden="1">#REF!</definedName>
    <definedName name="_bdm.B0C9ADDA90F045F6A324BA318A090FA7.edm" hidden="1">#REF!</definedName>
    <definedName name="_bdm.B2A136BC457147EF9DBAE7DC60DFD371.edm" hidden="1">#REF!</definedName>
    <definedName name="_bdm.B3F8F39DE23547089BD753BBAC4AF3D9.edm" hidden="1">#REF!</definedName>
    <definedName name="_bdm.B48B3E3A128A4300A77807B649B92AAF.edm" hidden="1">#REF!</definedName>
    <definedName name="_bdm.B49C8F14C59C432E9E4F145EF3AD028C.edm" hidden="1">#REF!</definedName>
    <definedName name="_bdm.B85720D0A1794C7E9E00E1C459C03E6F.edm" hidden="1">#REF!</definedName>
    <definedName name="_bdm.B951913390C8437A826B737C880DE1D3.edm" hidden="1">#REF!</definedName>
    <definedName name="_bdm.BAB6CC588D6E42A583D569BFE589CD2A.edm" hidden="1">#REF!</definedName>
    <definedName name="_bdm.BE773D81C0FA40ADB4EE6A9A1CC69DF2.edm" hidden="1">#REF!</definedName>
    <definedName name="_bdm.BF951CD2EF7B4858BB7476B6AA59B1B0.edm" hidden="1">#REF!</definedName>
    <definedName name="_bdm.C7C41C6C2C4840F682AB6E60A85719CC.edm" hidden="1">#REF!</definedName>
    <definedName name="_bdm.CA86E567E9324357A81A245C6209222F.edm" hidden="1">#REF!</definedName>
    <definedName name="_bdm.CB3BA92759294697A7BB92CA49E9C740.edm" hidden="1">#REF!</definedName>
    <definedName name="_bdm.D08870F915694DCF902DDABE0FCAD4B6.edm" hidden="1">#REF!</definedName>
    <definedName name="_bdm.D2BBF11026BE46D18C9F0C6849591DDA.edm" hidden="1">#REF!</definedName>
    <definedName name="_bdm.DA03203532C44C1BA88107398EF2F961.edm" hidden="1">#REF!</definedName>
    <definedName name="_bdm.DAD268461B8549FB9F0FFF34957E85C9.edm" hidden="1">#REF!</definedName>
    <definedName name="_bdm.DBFF79F632244FFE9E51203F27F24246.edm" hidden="1">#REF!</definedName>
    <definedName name="_bdm.DD70081A7D4A4463B992E77B49606857.edm" hidden="1">#REF!</definedName>
    <definedName name="_bdm.DF43E43ADBA04D20B7A0B969C16D94FC.edm" hidden="1">#REF!</definedName>
    <definedName name="_bdm.E2ED25315AA74616A7C7C0A22B1FB77C.edm" hidden="1">#REF!</definedName>
    <definedName name="_bdm.E4583B38A97944C9BC1BDDC997BE68A7.edm" hidden="1">#REF!</definedName>
    <definedName name="_bdm.E48A75FE24CF49BF8258282CA82B711A.edm" hidden="1">#REF!</definedName>
    <definedName name="_bdm.E6ECACEC3C5546F9B3315BFB34E5E26D.edm" hidden="1">#REF!</definedName>
    <definedName name="_bdm.EA0DAB7B2B234A23B8DB6582C2C761D5.edm" hidden="1">#REF!</definedName>
    <definedName name="_bdm.EBA4BA7EE8C0474E94AC0653142BC02A.edm" hidden="1">#REF!</definedName>
    <definedName name="_bdm.EBE7F104F8754B84BD1ACA434F5088A3.edm" hidden="1">#REF!</definedName>
    <definedName name="_bdm.ED38562AC7DA42E1ACF9E99B5275CA81.edm" hidden="1">#REF!</definedName>
    <definedName name="_bdm.EFAD9DBE0FE343A382B052CDFD24D20F.edm" hidden="1">#REF!</definedName>
    <definedName name="_bdm.F45E491D355B4540B42C91191161AC69.edm" hidden="1">#REF!</definedName>
    <definedName name="_bdm.F4CEF2EAF50E4394921FFDFA9B2C5AAF.edm" hidden="1">#REF!</definedName>
    <definedName name="_bdm.F5C0DC37D86C45DB85ADA6C6D2EB5EDB.edm" hidden="1">#REF!</definedName>
    <definedName name="_bdm.FD7D08E2695F4E9E95FF63A2A1D44E16.edm" hidden="1">#REF!</definedName>
    <definedName name="_bdm.FEDFD2DD4DEC4479B9ADB903CA2DB288.edm" hidden="1">#REF!</definedName>
    <definedName name="_bdm.FF2AEFF3C99147C29EA5C75AB7EA2E27.edm" hidden="1">#REF!</definedName>
    <definedName name="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Dist_Values" hidden="1">#REF!</definedName>
    <definedName name="_Fill" hidden="1">#REF!</definedName>
    <definedName name="_xlnm._FilterDatabase" localSheetId="0" hidden="1">Factsheet!$A$1:$AJ$303</definedName>
    <definedName name="_xlnm._FilterDatabase" hidden="1">#REF!</definedName>
    <definedName name="_Key2" hidden="1">#REF!</definedName>
    <definedName name="_MatInverse_In" hidden="1">#N/A</definedName>
    <definedName name="_MatInverse_Out" hidden="1">#REF!</definedName>
    <definedName name="_Order1" hidden="1">255</definedName>
    <definedName name="_Order2" hidden="1">255</definedName>
    <definedName name="_Parse_Out" hidden="1">#REF!</definedName>
    <definedName name="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wrn2" hidden="1">{#N/A,#N/A,FALSE,"INPUTS";#N/A,#N/A,FALSE,"PROFORMA BSHEET";#N/A,#N/A,FALSE,"COMBINED";#N/A,#N/A,FALSE,"HIGH YIELD";#N/A,#N/A,FALSE,"COMB_GRAPHS"}</definedName>
    <definedName name="_wrn3" hidden="1">{#N/A,#N/A,FALSE,"ACQ_GRAPHS";#N/A,#N/A,FALSE,"T_1 GRAPHS";#N/A,#N/A,FALSE,"T_2 GRAPHS";#N/A,#N/A,FALSE,"COMB_GRAPHS"}</definedName>
    <definedName name="_wrn4" hidden="1">{"vi1",#N/A,FALSE,"Financial Statements";"vi2",#N/A,FALSE,"Financial Statements";#N/A,#N/A,FALSE,"DCF"}</definedName>
    <definedName name="_wrn5" hidden="1">{#N/A,#N/A,FALSE,"Valuation Assumptions";#N/A,#N/A,FALSE,"Summary";#N/A,#N/A,FALSE,"DCF";#N/A,#N/A,FALSE,"Valuation";#N/A,#N/A,FALSE,"WACC";#N/A,#N/A,FALSE,"UBVH";#N/A,#N/A,FALSE,"Free Cash Flow"}</definedName>
    <definedName name="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a" hidden="1">#REF!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" hidden="1">{#N/A,#N/A,FALSE,"Status of Projects";#N/A,#N/A,FALSE,"CEA-TEC";#N/A,#N/A,FALSE,"U-Constr.";#N/A,#N/A,FALSE,"summary";#N/A,#N/A,FALSE,"PPP-3 yrs"}</definedName>
    <definedName name="AccessDatabase" hidden="1">"D:\MIS\TALLY  31.09.04 sep\AS PER TALLY 31.09.04.mdb"</definedName>
    <definedName name="AdmExpSer" hidden="1">#REF!</definedName>
    <definedName name="afgdfgfd" hidden="1">#REF!,#REF!,#REF!,#REF!,#REF!,#REF!,#REF!,#REF!</definedName>
    <definedName name="anscount" hidden="1">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{"Print Summary",#N/A,FALSE,"Bal_Graphs";"Print Summary",#N/A,FALSE,"DCF";"Print Summary",#N/A,FALSE,"Graphs";"Print Summary",#N/A,FALSE,"Summary"}</definedName>
    <definedName name="AvgSellPr" hidden="1">#REF!,#REF!,#REF!,#REF!,#REF!,#REF!,#REF!,#REF!</definedName>
    <definedName name="BB_TICKER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bvnbm" hidden="1">#N/A</definedName>
    <definedName name="bngjd" hidden="1">#N/A</definedName>
    <definedName name="bnm" hidden="1">{"'PS-SOTM'!$A$1","'PS-SOTM'!$A$2:$M$30","'PS-SOTM'!$A$31:$A$38"}</definedName>
    <definedName name="bnxnb" hidden="1">#N/A</definedName>
    <definedName name="cem" hidden="1">{#N/A,#N/A,FALSE,"Status of Projects";#N/A,#N/A,FALSE,"CEA-TEC";#N/A,#N/A,FALSE,"U-Constr.";#N/A,#N/A,FALSE,"summary";#N/A,#N/A,FALSE,"PPP-3 yrs"}</definedName>
    <definedName name="c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heck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oName" hidden="1">#REF!</definedName>
    <definedName name="conso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u102.ShareScalingFactor" hidden="1">1000000</definedName>
    <definedName name="cu103.EmployeeScalingFactor" hidden="1">1000</definedName>
    <definedName name="cu107.DPSSymbol" hidden="1">"Rs"</definedName>
    <definedName name="cu107.EPSSymbol" hidden="1">"Rs"</definedName>
    <definedName name="cu71.ScalingFactor" hidden="1">1000000</definedName>
    <definedName name="Data1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ata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fdf" hidden="1">#REF!</definedName>
    <definedName name="dfg" hidden="1">#N/A</definedName>
    <definedName name="dfgg" hidden="1">#REF!</definedName>
    <definedName name="dfvfgdf" hidden="1">#N/A</definedName>
    <definedName name="dgdasfg" hidden="1">#N/A</definedName>
    <definedName name="dgdfg" hidden="1">#REF!</definedName>
    <definedName name="DispFmt" hidden="1">#REF!</definedName>
    <definedName name="dvzxcv" hidden="1">#N/A</definedName>
    <definedName name="dw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effd" hidden="1">#REF!</definedName>
    <definedName name="efrf" hidden="1">#REF!</definedName>
    <definedName name="EnEsMode" hidden="1">#REF!</definedName>
    <definedName name="EnYrRng" hidden="1">#REF!</definedName>
    <definedName name="EqMult" hidden="1">#REF!</definedName>
    <definedName name="ere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esnrc100c1_values" hidden="1">{"FTSE100","COMPANIES",TRUE}</definedName>
    <definedName name="esnrc33c1_values" hidden="1">{"EUMOT","COMPANIES",TRUE}</definedName>
    <definedName name="esnrc56c1_values" hidden="1">{"ASCONGRP","COMPANIES",TRUE}</definedName>
    <definedName name="esnrc63c1_values" hidden="1">{"EUUTIGRP","COMPANIES",TRUE}</definedName>
    <definedName name="esnrc91c1_values" hidden="1">{"EUUTI","COMPANIES",TRUE}</definedName>
    <definedName name="EstRef" hidden="1">#REF!</definedName>
    <definedName name="EsYrRng" hidden="1">#REF!</definedName>
    <definedName name="ExpMfgDmy" hidden="1">#REF!</definedName>
    <definedName name="ExpPerDmy" hidden="1">#REF!</definedName>
    <definedName name="ExpSaleDmy" hidden="1">#REF!</definedName>
    <definedName name="FaceVal" hidden="1">#REF!</definedName>
    <definedName name="FASer" hidden="1">#REF!</definedName>
    <definedName name="fbcbv" hidden="1">#N/A</definedName>
    <definedName name="fdf" hidden="1">#N/A</definedName>
    <definedName name="fdfe" hidden="1">#REF!</definedName>
    <definedName name="fdv" hidden="1">{"quarterly",#N/A,FALSE,"Income Statement";#N/A,#N/A,FALSE,"print segment";#N/A,#N/A,FALSE,"Balance Sheet";#N/A,#N/A,FALSE,"Annl Inc";#N/A,#N/A,FALSE,"Cash Flow"}</definedName>
    <definedName name="fffffffffffffffffffffffffffffffffff" hidden="1">{#N/A,#N/A,FALSE,"Status of Projects";#N/A,#N/A,FALSE,"CEA-TEC";#N/A,#N/A,FALSE,"U-Constr.";#N/A,#N/A,FALSE,"summary";#N/A,#N/A,FALSE,"PPP-3 yrs"}</definedName>
    <definedName name="fgdfgd" hidden="1">#REF!</definedName>
    <definedName name="fgfgfry" hidden="1">#REF!</definedName>
    <definedName name="fghgh" hidden="1">#N/A</definedName>
    <definedName name="fgyjg" hidden="1">{"'PS-SOTM'!$A$1","'PS-SOTM'!$A$2:$M$30","'PS-SOTM'!$A$31:$A$38"}</definedName>
    <definedName name="fhgfg" hidden="1">#REF!</definedName>
    <definedName name="fill" hidden="1">#REF!</definedName>
    <definedName name="flash" hidden="1">#REF!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g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gn" hidden="1">#N/A</definedName>
    <definedName name="gg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hb" hidden="1">#N/A</definedName>
    <definedName name="ghgh" hidden="1">#N/A</definedName>
    <definedName name="Good" hidden="1">{"FTSE100","COMPANIES",TRUE}</definedName>
    <definedName name="g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yh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gghfgh" hidden="1">#N/A</definedName>
    <definedName name="hggj" hidden="1">#REF!</definedName>
    <definedName name="hgty6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TML_CodePage" hidden="1">1252</definedName>
    <definedName name="HTML_Control" hidden="1">{"'PS-SOTM'!$A$1","'PS-SOTM'!$A$2:$M$30","'PS-SOTM'!$A$31:$A$38"}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"\\swati\macro\IN_Notes_MM.html"</definedName>
    <definedName name="HTML_PathTemplate" hidden="1">"C:\infac\pricewth\Aug99\Page06e.htm"</definedName>
    <definedName name="HTML_Title" hidden="1">""</definedName>
    <definedName name="InstCap" hidden="1">#REF!,#REF!,#REF!,#REF!,#REF!,#REF!,#REF!,#REF!</definedName>
    <definedName name="InvChg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38987.6875462963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"iQShowAnnual"</definedName>
    <definedName name="jbfcvf" hidden="1">#REF!</definedName>
    <definedName name="jbgcvc" hidden="1">#REF!</definedName>
    <definedName name="jkkk" hidden="1">#N/A</definedName>
    <definedName name="jsadjgadf" hidden="1">{#N/A,#N/A,FALSE,"Status of Projects";#N/A,#N/A,FALSE,"CEA-TEC";#N/A,#N/A,FALSE,"U-Constr.";#N/A,#N/A,FALSE,"summary";#N/A,#N/A,FALSE,"PPP-3 yrs"}</definedName>
    <definedName name="kfjbg" hidden="1">#REF!</definedName>
    <definedName name="kjbfdsf" hidden="1">#REF!</definedName>
    <definedName name="kjiiop" hidden="1">#N/A</definedName>
    <definedName name="limcount" hidden="1">1</definedName>
    <definedName name="lkjhbv" hidden="1">#REF!</definedName>
    <definedName name="LtDebtChg" hidden="1">#REF!</definedName>
    <definedName name="LtDebtDmy" hidden="1">#REF!,#REF!,#REF!,#REF!,#REF!</definedName>
    <definedName name="LTDebtSer" hidden="1">#REF!</definedName>
    <definedName name="M_PlaceofPath" hidden="1">"\\SNYCEQT0100\HOME\LZURLO\DATA\TELMEX\Models\tmx_vdf.xls"</definedName>
    <definedName name="MfgExpSer" hidden="1">#REF!</definedName>
    <definedName name="mjj" hidden="1">#N/A</definedName>
    <definedName name="mm" hidden="1">{#N/A,#N/A,FALSE,"Status of Projects";#N/A,#N/A,FALSE,"CEA-TEC";#N/A,#N/A,FALSE,"U-Constr.";#N/A,#N/A,FALSE,"summary";#N/A,#N/A,FALSE,"PPP-3 yrs"}</definedName>
    <definedName name="mnbg" hidden="1">{#N/A,#N/A,FALSE,"Status of Projects";#N/A,#N/A,FALSE,"CEA-TEC";#N/A,#N/A,FALSE,"U-Constr.";#N/A,#N/A,FALSE,"summary";#N/A,#N/A,FALSE,"PPP-3 yrs"}</definedName>
    <definedName name="NetCAChg" hidden="1">#REF!</definedName>
    <definedName name="NetDebtChg" hidden="1">#REF!</definedName>
    <definedName name="NetEqChg" hidden="1">#REF!</definedName>
    <definedName name="new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NFAChg" hidden="1">#REF!</definedName>
    <definedName name="Nitin" hidden="1">#REF!</definedName>
    <definedName name="nitu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nn" hidden="1">{#N/A,#N/A,FALSE,"Status of Projects";#N/A,#N/A,FALSE,"CEA-TEC";#N/A,#N/A,FALSE,"U-Constr.";#N/A,#N/A,FALSE,"summary";#N/A,#N/A,FALSE,"PPP-3 yrs"}</definedName>
    <definedName name="nnnnnnnnnn" hidden="1">{#N/A,#N/A,FALSE,"Status of Projects";#N/A,#N/A,FALSE,"CEA-TEC";#N/A,#N/A,FALSE,"U-Constr.";#N/A,#N/A,FALSE,"summary";#N/A,#N/A,FALSE,"PPP-3 yrs"}</definedName>
    <definedName name="NtnlPr" hidden="1">#REF!</definedName>
    <definedName name="onsolidat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OpIncDmy" hidden="1">#REF!</definedName>
    <definedName name="OpIncSer" hidden="1">#REF!</definedName>
    <definedName name="parse" hidden="1">#REF!</definedName>
    <definedName name="PrfDmy" hidden="1">#REF!</definedName>
    <definedName name="PrfShSer" hidden="1">#REF!</definedName>
    <definedName name="ProdDmy" hidden="1">#REF!</definedName>
    <definedName name="Product" hidden="1">#REF!</definedName>
    <definedName name="ProdUnit" hidden="1">#REF!</definedName>
    <definedName name="PrsExpSer" hidden="1">#REF!</definedName>
    <definedName name="PrYears" hidden="1">#REF!</definedName>
    <definedName name="PUB_FileID" hidden="1">"L10003649.xls"</definedName>
    <definedName name="PUB_UserID" hidden="1">"MAYERX"</definedName>
    <definedName name="q" hidden="1">{"Qtr Op Mgd Q2",#N/A,FALSE,"Qtr-Op (Mng)";"Qtr Op Rpt Q2",#N/A,FALSE,"Qtr-Op (Rpt)";"Operating Vs Reported",#N/A,FALSE,"Rpt-Op Inc"}</definedName>
    <definedName name="ranj" hidden="1">{"'PS-SOTM'!$A$1","'PS-SOTM'!$A$2:$M$30","'PS-SOTM'!$A$31:$A$38"}</definedName>
    <definedName name="ranja" hidden="1">{#N/A,#N/A,FALSE,"Status of Projects";#N/A,#N/A,FALSE,"CEA-TEC";#N/A,#N/A,FALSE,"U-Constr.";#N/A,#N/A,FALSE,"summary";#N/A,#N/A,FALSE,"PPP-3 yrs"}</definedName>
    <definedName name="ranjan" hidden="1">{"'PS-SOTM'!$A$1","'PS-SOTM'!$A$2:$M$30","'PS-SOTM'!$A$31:$A$38"}</definedName>
    <definedName name="RawMat" hidden="1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do2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#REF!</definedName>
    <definedName name="rerwer" hidden="1">#REF!</definedName>
    <definedName name="RMDmy" hidden="1">#REF!</definedName>
    <definedName name="RMUnit" hidden="1">#REF!</definedName>
    <definedName name="roads_July04" hidden="1">#N/A</definedName>
    <definedName name="rrt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rtghbgfkj" hidden="1">#REF!</definedName>
    <definedName name="rtr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t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yr" hidden="1">#N/A</definedName>
    <definedName name="SaleUnit" hidden="1">#REF!,#REF!,#REF!,#REF!,#REF!,#REF!,#REF!,#REF!</definedName>
    <definedName name="SaleValue" hidden="1">#REF!,#REF!,#REF!,#REF!,#REF!,#REF!,#REF!,#REF!</definedName>
    <definedName name="SBBJ1" hidden="1">{"Qtr Op Mgd Q3",#N/A,FALSE,"Qtr-Op (Mng)";"Qtr Op Rpt Q3",#N/A,FALSE,"Qtr-Op (Rpt)";"Operating Vs Reported",#N/A,FALSE,"Rpt-Op Inc"}</definedName>
    <definedName name="SB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sdcasc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ds" hidden="1">{"Print Summary",#N/A,FALSE,"Bal_Graphs";"Print Summary",#N/A,FALSE,"DCF";"Print Summary",#N/A,FALSE,"Graphs";"Print Summary",#N/A,FALSE,"Summary"}</definedName>
    <definedName name="sed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f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elExpSer" hidden="1">#REF!</definedName>
    <definedName name="sencount" hidden="1">1</definedName>
    <definedName name="sert" hidden="1">{#N/A,#N/A,FALSE,"Status of Projects";#N/A,#N/A,FALSE,"CEA-TEC";#N/A,#N/A,FALSE,"U-Constr.";#N/A,#N/A,FALSE,"summary";#N/A,#N/A,FALSE,"PPP-3 yrs"}</definedName>
    <definedName name="sfdsdf" hidden="1">#N/A</definedName>
    <definedName name="sfsd" hidden="1">#REF!</definedName>
    <definedName name="SGCInvChg" hidden="1">#REF!</definedName>
    <definedName name="ShPrmChg" hidden="1">#REF!</definedName>
    <definedName name="sin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olver_adj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0</definedName>
    <definedName name="solver_num" hidden="1">0</definedName>
    <definedName name="solver_opt" hidden="1">#REF!</definedName>
    <definedName name="solver_rel10" hidden="1">3</definedName>
    <definedName name="solver_rel11" hidden="1">3</definedName>
    <definedName name="solver_rel12" hidden="1">3</definedName>
    <definedName name="solver_rel13" hidden="1">3</definedName>
    <definedName name="solver_rel14" hidden="1">3</definedName>
    <definedName name="solver_rel15" hidden="1">2</definedName>
    <definedName name="solver_rel16" hidden="1">3</definedName>
    <definedName name="solver_rel17" hidden="1">3</definedName>
    <definedName name="solver_rel18" hidden="1">3</definedName>
    <definedName name="solver_rel19" hidden="1">3</definedName>
    <definedName name="solver_rel20" hidden="1">3</definedName>
    <definedName name="solver_rel21" hidden="1">3</definedName>
    <definedName name="solver_rel22" hidden="1">2</definedName>
    <definedName name="solver_rel23" hidden="1">2</definedName>
    <definedName name="solver_rel24" hidden="1">3</definedName>
    <definedName name="solver_rel25" hidden="1">3</definedName>
    <definedName name="solver_rel26" hidden="1">1</definedName>
    <definedName name="solver_rel27" hidden="1">3</definedName>
    <definedName name="solver_rel6" hidden="1">3</definedName>
    <definedName name="solver_rel7" hidden="1">3</definedName>
    <definedName name="solver_rel8" hidden="1">3</definedName>
    <definedName name="solver_rel9" hidden="1">3</definedName>
    <definedName name="solver_rhs10" hidden="1">270</definedName>
    <definedName name="solver_rhs11" hidden="1">10</definedName>
    <definedName name="solver_rhs12" hidden="1">40</definedName>
    <definedName name="solver_rhs13" hidden="1">30</definedName>
    <definedName name="solver_rhs14" hidden="1">20</definedName>
    <definedName name="solver_rhs15" hidden="1">100</definedName>
    <definedName name="solver_rhs16" hidden="1">15</definedName>
    <definedName name="solver_rhs17" hidden="1">10</definedName>
    <definedName name="solver_rhs18" hidden="1">5</definedName>
    <definedName name="solver_rhs19" hidden="1">1</definedName>
    <definedName name="solver_rhs20" hidden="1">1</definedName>
    <definedName name="solver_rhs21" hidden="1">15</definedName>
    <definedName name="solver_rhs22" hidden="1">0</definedName>
    <definedName name="solver_rhs23" hidden="1">0</definedName>
    <definedName name="solver_rhs24" hidden="1">4</definedName>
    <definedName name="solver_rhs25" hidden="1">5</definedName>
    <definedName name="solver_rhs26" hidden="1">3</definedName>
    <definedName name="solver_rhs27" hidden="1">10</definedName>
    <definedName name="solver_rhs6" hidden="1">8.5</definedName>
    <definedName name="solver_rhs7" hidden="1">25</definedName>
    <definedName name="solver_rhs8" hidden="1">110</definedName>
    <definedName name="solver_rhs9" hidden="1">40</definedName>
    <definedName name="solver_typ" hidden="1">3</definedName>
    <definedName name="solver_val" hidden="1">0.1076</definedName>
    <definedName name="StDebtChg" hidden="1">#REF!</definedName>
    <definedName name="StDebtDmy" hidden="1">#REF!,#REF!,#REF!,#REF!,#REF!</definedName>
    <definedName name="STDebtSer" hidden="1">#REF!</definedName>
    <definedName name="Sterlin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dhi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mmary_stn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2" hidden="1">{"FTSE100","COMPANIES",TRUE}</definedName>
    <definedName name="test3" hidden="1">{"EUMOT","COMPANIES",TRUE}</definedName>
    <definedName name="test4" hidden="1">{"ASCONGRP","COMPANIES",TRUE}</definedName>
    <definedName name="test5" hidden="1">{"EUUTIGRP","COMPANIES",TRUE}</definedName>
    <definedName name="test6" hidden="1">{"EUUTI","COMPANIES",TRUE}</definedName>
    <definedName name="tggg" hidden="1">#REF!</definedName>
    <definedName name="thh" hidden="1">#REF!</definedName>
    <definedName name="trgdfgr" hidden="1">#REF!</definedName>
    <definedName name="trtgrtg" hidden="1">#REF!</definedName>
    <definedName name="trytrhgr" hidden="1">#REF!</definedName>
    <definedName name="tytht" hidden="1">#REF!</definedName>
    <definedName name="tyui" hidden="1">{#N/A,#N/A,FALSE,"Status of Projects";#N/A,#N/A,FALSE,"CEA-TEC";#N/A,#N/A,FALSE,"U-Constr.";#N/A,#N/A,FALSE,"summary";#N/A,#N/A,FALSE,"PPP-3 yrs"}</definedName>
    <definedName name="uijhkg" hidden="1">#N/A</definedName>
    <definedName name="uio" hidden="1">#N/A</definedName>
    <definedName name="UtilCap" hidden="1">#REF!,#REF!,#REF!,#REF!,#REF!,#REF!,#REF!,#REF!</definedName>
    <definedName name="UtilProd" hidden="1">#REF!,#REF!,#REF!,#REF!,#REF!,#REF!,#REF!,#REF!</definedName>
    <definedName name="v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" hidden="1">{"quarterly",#N/A,FALSE,"Income Statement";#N/A,#N/A,FALSE,"print segment";#N/A,#N/A,FALSE,"Balance Sheet";#N/A,#N/A,FALSE,"Annl Inc";#N/A,#N/A,FALSE,"Cash Flow"}</definedName>
    <definedName name="wdfwd" hidden="1">#N/A</definedName>
    <definedName name="wrn" hidden="1">{#N/A,#N/A,FALSE,"Status of Projects";#N/A,#N/A,FALSE,"CEA-TEC";#N/A,#N/A,FALSE,"U-Constr.";#N/A,#N/A,FALSE,"summary";#N/A,#N/A,FALSE,"PPP-3 yrs"}</definedName>
    <definedName name="wrn.1." hidden="1">{#N/A,#N/A,FALSE,"Scenario Summary"}</definedName>
    <definedName name="wrn.a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ochanges." hidden="1">{"valn",#N/A,FALSE,"COVER SHEET";"Interims",#N/A,FALSE,"News_Notes_Interims";"notesNews",#N/A,FALSE,"News_Notes_Interims"}</definedName>
    <definedName name="wrn.COMBINED." hidden="1">{#N/A,#N/A,FALSE,"INPUTS";#N/A,#N/A,FALSE,"PROFORMA BSHEET";#N/A,#N/A,FALSE,"COMBINED";#N/A,#N/A,FALSE,"HIGH YIELD";#N/A,#N/A,FALSE,"COMB_GRAPHS"}</definedName>
    <definedName name="wrn.Complete._.Repo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1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intl." hidden="1">{"cover",#N/A,FALSE,"COVER SHEET";#N/A,#N/A,FALSE,"TARGET PRICE";#N/A,#N/A,FALSE,"DFCF"}</definedName>
    <definedName name="wrn.datapak" hidden="1">{#N/A,#N/A,FALSE,"Status of Projects";#N/A,#N/A,FALSE,"CEA-TEC";#N/A,#N/A,FALSE,"U-Constr.";#N/A,#N/A,FALSE,"summary";#N/A,#N/A,FALSE,"PPP-3 yrs"}</definedName>
    <definedName name="wrn.datapak." hidden="1">{#N/A,#N/A,FALSE,"Status of Projects";#N/A,#N/A,FALSE,"CEA-TEC";#N/A,#N/A,FALSE,"U-Constr.";#N/A,#N/A,FALSE,"summary";#N/A,#N/A,FALSE,"PPP-3 yrs"}</definedName>
    <definedName name="wrn.datapak.1" hidden="1">{#N/A,#N/A,FALSE,"Status of Projects";#N/A,#N/A,FALSE,"CEA-TEC";#N/A,#N/A,FALSE,"U-Constr.";#N/A,#N/A,FALSE,"summary";#N/A,#N/A,FALSE,"PPP-3 yrs"}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ur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Financials." hidden="1">{#N/A,#N/A,TRUE,"Financials";#N/A,#N/A,TRUE,"Operating Statistics";#N/A,#N/A,TRUE,"Capex &amp; Depreciation";#N/A,#N/A,TRUE,"Debt"}</definedName>
    <definedName name="wrn.GRAPHS." hidden="1">{#N/A,#N/A,FALSE,"ACQ_GRAPHS";#N/A,#N/A,FALSE,"T_1 GRAPHS";#N/A,#N/A,FALSE,"T_2 GRAPHS";#N/A,#N/A,FALSE,"COMB_GRAPHS"}</definedName>
    <definedName name="wrn.handout." hidden="1">{"quarterly",#N/A,FALSE,"Income Statement New CPB";"annual",#N/A,FALSE,"Income Statement New CPB";"cash flow",#N/A,FALSE,"Cash Flow";"balance",#N/A,FALSE,"Balance Sheet";"seg",#N/A,FALSE,"New Segment Breakout"}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onthly._.Report." hidden="1">{#N/A,#N/A,FALSE,"Monthly";#N/A,#N/A,FALSE,"Hong Kong";#N/A,#N/A,FALSE,"New York";#N/A,#N/A,FALSE,"London";#N/A,#N/A,FALSE,"Singapore";#N/A,#N/A,FALSE,"Australia";#N/A,#N/A,FALSE,"Korea"}</definedName>
    <definedName name="wrn.One._.Pager._.plus._.Technicals." hidden="1">{#N/A,#N/A,FALSE,"One Pager";#N/A,#N/A,FALSE,"Technical"}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Summary." hidden="1">{"Print Summary",#N/A,FALSE,"Bal_Graphs";"Print Summary",#N/A,FALSE,"DCF";"Print Summary",#N/A,FALSE,"Graphs";"Print Summary",#N/A,FALSE,"Summary"}</definedName>
    <definedName name="wrn.test." hidden="1">{"test2",#N/A,TRUE,"Prices"}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ls" hidden="1">{"Print Summary",#N/A,FALSE,"Bal_Graphs";"Print Summary",#N/A,FALSE,"DCF";"Print Summary",#N/A,FALSE,"Graphs";"Print Summary",#N/A,FALSE,"Summary"}</definedName>
    <definedName name="xvxv" hidden="1">#N/A</definedName>
    <definedName name="yihjh" hidden="1">#N/A</definedName>
    <definedName name="YrRange" hidden="1">#REF!</definedName>
    <definedName name="yrty" hidden="1">#REF!</definedName>
    <definedName name="zaq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zzz" hidden="1">#N/A</definedName>
  </definedNames>
  <calcPr calcId="191029" calcMode="manual"/>
</workbook>
</file>

<file path=xl/calcChain.xml><?xml version="1.0" encoding="utf-8"?>
<calcChain xmlns="http://schemas.openxmlformats.org/spreadsheetml/2006/main">
  <c r="G25" i="11" l="1"/>
  <c r="G24" i="11"/>
  <c r="F24" i="11"/>
  <c r="E24" i="11"/>
  <c r="D24" i="11"/>
  <c r="C24" i="11"/>
  <c r="B24" i="11"/>
  <c r="AC26" i="11" l="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I26" i="11"/>
  <c r="H26" i="11"/>
  <c r="G26" i="11"/>
  <c r="Z52" i="11"/>
  <c r="AB21" i="11" l="1"/>
  <c r="AC138" i="11" l="1"/>
  <c r="AC117" i="11" l="1"/>
  <c r="AC58" i="11" l="1"/>
  <c r="AC101" i="11"/>
  <c r="AC112" i="11"/>
  <c r="AC113" i="11" l="1"/>
  <c r="AC52" i="11" l="1"/>
  <c r="AC51" i="11"/>
  <c r="AC33" i="11"/>
  <c r="AA52" i="11"/>
  <c r="AB52" i="11"/>
  <c r="AC8" i="11"/>
  <c r="AC7" i="11"/>
  <c r="AC73" i="11" l="1"/>
  <c r="I263" i="11"/>
  <c r="I21" i="11" l="1"/>
  <c r="AC240" i="11"/>
  <c r="AC221" i="11"/>
  <c r="AC187" i="11"/>
  <c r="AC181" i="11"/>
  <c r="AC36" i="11"/>
  <c r="AC21" i="11"/>
  <c r="AC248" i="11"/>
  <c r="I247" i="11" l="1"/>
  <c r="I246" i="11"/>
  <c r="I243" i="11"/>
  <c r="I242" i="11"/>
  <c r="I239" i="11"/>
  <c r="I238" i="11"/>
  <c r="I237" i="11"/>
  <c r="I220" i="11"/>
  <c r="I219" i="11"/>
  <c r="I216" i="11"/>
  <c r="I215" i="11"/>
  <c r="I217" i="11"/>
  <c r="I214" i="11"/>
  <c r="I218" i="11"/>
  <c r="I213" i="11"/>
  <c r="I211" i="11"/>
  <c r="I212" i="11"/>
  <c r="I210" i="11"/>
  <c r="I207" i="11"/>
  <c r="I206" i="11"/>
  <c r="I205" i="11"/>
  <c r="I204" i="11"/>
  <c r="I203" i="11"/>
  <c r="I202" i="11"/>
  <c r="I199" i="11"/>
  <c r="I198" i="11"/>
  <c r="I197" i="11"/>
  <c r="I194" i="11"/>
  <c r="I193" i="11"/>
  <c r="I192" i="11"/>
  <c r="I191" i="11"/>
  <c r="I186" i="11"/>
  <c r="I185" i="11"/>
  <c r="I180" i="11"/>
  <c r="I179" i="11"/>
  <c r="I178" i="11"/>
  <c r="I177" i="11"/>
  <c r="I140" i="11"/>
  <c r="I139" i="11"/>
  <c r="I122" i="11"/>
  <c r="I121" i="11"/>
  <c r="I120" i="11"/>
  <c r="I119" i="11"/>
  <c r="I118" i="11"/>
  <c r="I111" i="11"/>
  <c r="I154" i="11" s="1"/>
  <c r="I110" i="11"/>
  <c r="I109" i="11"/>
  <c r="I108" i="11"/>
  <c r="I107" i="11"/>
  <c r="I106" i="11"/>
  <c r="I105" i="11"/>
  <c r="I104" i="11"/>
  <c r="I100" i="11"/>
  <c r="I99" i="11"/>
  <c r="I98" i="11"/>
  <c r="I97" i="11"/>
  <c r="I96" i="11"/>
  <c r="I95" i="11"/>
  <c r="I94" i="11"/>
  <c r="I85" i="11"/>
  <c r="I84" i="11"/>
  <c r="I83" i="11"/>
  <c r="I82" i="11"/>
  <c r="I81" i="11"/>
  <c r="I80" i="11"/>
  <c r="I73" i="11"/>
  <c r="I71" i="11"/>
  <c r="I70" i="11"/>
  <c r="I68" i="11"/>
  <c r="I66" i="11"/>
  <c r="I65" i="11"/>
  <c r="I64" i="11"/>
  <c r="I63" i="11"/>
  <c r="I59" i="11"/>
  <c r="I57" i="11"/>
  <c r="I56" i="11"/>
  <c r="I55" i="11"/>
  <c r="I52" i="11"/>
  <c r="I50" i="11"/>
  <c r="I41" i="11"/>
  <c r="I39" i="11"/>
  <c r="I38" i="11"/>
  <c r="I35" i="11"/>
  <c r="I32" i="11"/>
  <c r="I30" i="11"/>
  <c r="I16" i="11"/>
  <c r="I15" i="11"/>
  <c r="I13" i="11"/>
  <c r="I12" i="11"/>
  <c r="I10" i="11"/>
  <c r="I6" i="11"/>
  <c r="I5" i="11"/>
  <c r="I4" i="11"/>
  <c r="I3" i="11"/>
  <c r="J74" i="11"/>
  <c r="I254" i="11"/>
  <c r="I245" i="11"/>
  <c r="I236" i="11"/>
  <c r="I209" i="11"/>
  <c r="I201" i="11"/>
  <c r="I196" i="11"/>
  <c r="I176" i="11"/>
  <c r="I175" i="11"/>
  <c r="I151" i="11"/>
  <c r="I143" i="11"/>
  <c r="I142" i="11"/>
  <c r="I137" i="11"/>
  <c r="I116" i="11"/>
  <c r="I92" i="11"/>
  <c r="I53" i="11"/>
  <c r="I29" i="11"/>
  <c r="AE239" i="11"/>
  <c r="AE238" i="11"/>
  <c r="AE237" i="11"/>
  <c r="AE220" i="11"/>
  <c r="AE219" i="11"/>
  <c r="AE216" i="11"/>
  <c r="AE215" i="11"/>
  <c r="AE217" i="11"/>
  <c r="AE214" i="11"/>
  <c r="AE218" i="11"/>
  <c r="AE213" i="11"/>
  <c r="AE211" i="11"/>
  <c r="AE212" i="11"/>
  <c r="AE210" i="11"/>
  <c r="AE186" i="11"/>
  <c r="AE185" i="11"/>
  <c r="AE180" i="11"/>
  <c r="AE179" i="11"/>
  <c r="AE178" i="11"/>
  <c r="AE177" i="11"/>
  <c r="AE122" i="11"/>
  <c r="AE121" i="11"/>
  <c r="AE120" i="11"/>
  <c r="AE119" i="11"/>
  <c r="AE118" i="11"/>
  <c r="AE111" i="11"/>
  <c r="AE110" i="11"/>
  <c r="AE109" i="11"/>
  <c r="AE108" i="11"/>
  <c r="AE107" i="11"/>
  <c r="AE106" i="11"/>
  <c r="AE105" i="11"/>
  <c r="AE104" i="11"/>
  <c r="AE100" i="11"/>
  <c r="AE99" i="11"/>
  <c r="AE98" i="11"/>
  <c r="AE97" i="11"/>
  <c r="AE96" i="11"/>
  <c r="AE95" i="11"/>
  <c r="AE94" i="11"/>
  <c r="AE85" i="11"/>
  <c r="AE84" i="11"/>
  <c r="AE83" i="11"/>
  <c r="AE82" i="11"/>
  <c r="AE81" i="11"/>
  <c r="AE80" i="11"/>
  <c r="AE74" i="11"/>
  <c r="AE70" i="11"/>
  <c r="AE68" i="11"/>
  <c r="AE66" i="11"/>
  <c r="AE65" i="11"/>
  <c r="AE64" i="11"/>
  <c r="AE63" i="11"/>
  <c r="AE59" i="11"/>
  <c r="AE57" i="11"/>
  <c r="AE56" i="11"/>
  <c r="AE55" i="11"/>
  <c r="AE50" i="11"/>
  <c r="AE41" i="11"/>
  <c r="AE39" i="11"/>
  <c r="AE38" i="11"/>
  <c r="AE35" i="11"/>
  <c r="AE32" i="11"/>
  <c r="AE16" i="11"/>
  <c r="AE15" i="11"/>
  <c r="AE6" i="11"/>
  <c r="AE5" i="11"/>
  <c r="AE4" i="11"/>
  <c r="AE3" i="11"/>
  <c r="AD239" i="11"/>
  <c r="AD238" i="11"/>
  <c r="AD237" i="11"/>
  <c r="AD220" i="11"/>
  <c r="AD219" i="11"/>
  <c r="AD216" i="11"/>
  <c r="AD215" i="11"/>
  <c r="AD217" i="11"/>
  <c r="AD214" i="11"/>
  <c r="AD218" i="11"/>
  <c r="AD213" i="11"/>
  <c r="AD211" i="11"/>
  <c r="AD212" i="11"/>
  <c r="AD210" i="11"/>
  <c r="AD186" i="11"/>
  <c r="AD185" i="11"/>
  <c r="AD180" i="11"/>
  <c r="AD179" i="11"/>
  <c r="AD178" i="11"/>
  <c r="AD177" i="11"/>
  <c r="AD122" i="11"/>
  <c r="AD121" i="11"/>
  <c r="AD120" i="11"/>
  <c r="AD119" i="11"/>
  <c r="AD118" i="11"/>
  <c r="AD111" i="11"/>
  <c r="AD110" i="11"/>
  <c r="AD109" i="11"/>
  <c r="AD108" i="11"/>
  <c r="AD107" i="11"/>
  <c r="AD106" i="11"/>
  <c r="AD105" i="11"/>
  <c r="AD104" i="11"/>
  <c r="AD100" i="11"/>
  <c r="AD99" i="11"/>
  <c r="AD98" i="11"/>
  <c r="AD97" i="11"/>
  <c r="AD96" i="11"/>
  <c r="AD95" i="11"/>
  <c r="AD94" i="11"/>
  <c r="AD85" i="11"/>
  <c r="AD84" i="11"/>
  <c r="AD83" i="11"/>
  <c r="AD82" i="11"/>
  <c r="AD81" i="11"/>
  <c r="AD80" i="11"/>
  <c r="AD74" i="11"/>
  <c r="AD70" i="11"/>
  <c r="AD68" i="11"/>
  <c r="AD66" i="11"/>
  <c r="AD65" i="11"/>
  <c r="AD64" i="11"/>
  <c r="AD63" i="11"/>
  <c r="AD59" i="11"/>
  <c r="AD57" i="11"/>
  <c r="AD56" i="11"/>
  <c r="AD55" i="11"/>
  <c r="AD50" i="11"/>
  <c r="AD41" i="11"/>
  <c r="AD39" i="11"/>
  <c r="AD38" i="11"/>
  <c r="AD35" i="11"/>
  <c r="AD32" i="11"/>
  <c r="AD16" i="11"/>
  <c r="AD15" i="11"/>
  <c r="AD6" i="11"/>
  <c r="AD5" i="11"/>
  <c r="AD4" i="11"/>
  <c r="AD3" i="11"/>
  <c r="AC265" i="11"/>
  <c r="AC252" i="11"/>
  <c r="AC251" i="11"/>
  <c r="AC250" i="11"/>
  <c r="AC249" i="11"/>
  <c r="AC245" i="11"/>
  <c r="AC236" i="11"/>
  <c r="AC231" i="11"/>
  <c r="AC209" i="11"/>
  <c r="AC201" i="11"/>
  <c r="AC196" i="11"/>
  <c r="AC190" i="11"/>
  <c r="AC188" i="11"/>
  <c r="AC182" i="11"/>
  <c r="AC175" i="11"/>
  <c r="AC154" i="11"/>
  <c r="AC75" i="11" s="1"/>
  <c r="AC151" i="11"/>
  <c r="AC143" i="11"/>
  <c r="AC142" i="11"/>
  <c r="AC148" i="11"/>
  <c r="AC137" i="11"/>
  <c r="AC125" i="11"/>
  <c r="AC124" i="11"/>
  <c r="AC145" i="11"/>
  <c r="AC116" i="11"/>
  <c r="AC152" i="11"/>
  <c r="AC92" i="11"/>
  <c r="AC86" i="11"/>
  <c r="AC62" i="11"/>
  <c r="AC60" i="11"/>
  <c r="AC61" i="11"/>
  <c r="AC53" i="11"/>
  <c r="AC47" i="11"/>
  <c r="AC45" i="11"/>
  <c r="AC44" i="11"/>
  <c r="AC42" i="11"/>
  <c r="AC40" i="11"/>
  <c r="AC29" i="11"/>
  <c r="AB138" i="11"/>
  <c r="AB101" i="11"/>
  <c r="AB112" i="11"/>
  <c r="I138" i="11" l="1"/>
  <c r="I148" i="11" s="1"/>
  <c r="I240" i="11"/>
  <c r="I248" i="11"/>
  <c r="I101" i="11"/>
  <c r="I152" i="11" s="1"/>
  <c r="I62" i="11"/>
  <c r="I60" i="11"/>
  <c r="I112" i="11"/>
  <c r="I117" i="11"/>
  <c r="I145" i="11" s="1"/>
  <c r="I33" i="11"/>
  <c r="I36" i="11"/>
  <c r="I221" i="11"/>
  <c r="I232" i="11" s="1"/>
  <c r="I125" i="11"/>
  <c r="I86" i="11"/>
  <c r="I40" i="11"/>
  <c r="I51" i="11"/>
  <c r="I47" i="11"/>
  <c r="I44" i="11"/>
  <c r="I45" i="11"/>
  <c r="I190" i="11"/>
  <c r="I124" i="11"/>
  <c r="I123" i="11" s="1"/>
  <c r="I8" i="11"/>
  <c r="I58" i="11"/>
  <c r="I75" i="11"/>
  <c r="I181" i="11"/>
  <c r="I182" i="11" s="1"/>
  <c r="I7" i="11"/>
  <c r="I42" i="11"/>
  <c r="I187" i="11"/>
  <c r="I188" i="11" s="1"/>
  <c r="AC67" i="11"/>
  <c r="AC227" i="11"/>
  <c r="AC230" i="11"/>
  <c r="AE112" i="11"/>
  <c r="AE101" i="11"/>
  <c r="AC48" i="11"/>
  <c r="AC147" i="11"/>
  <c r="AC90" i="11"/>
  <c r="AC232" i="11"/>
  <c r="AC228" i="11"/>
  <c r="AC224" i="11"/>
  <c r="AC233" i="11"/>
  <c r="AC229" i="11"/>
  <c r="AC225" i="11"/>
  <c r="AC89" i="11"/>
  <c r="AC123" i="11"/>
  <c r="AC226" i="11"/>
  <c r="AC223" i="11"/>
  <c r="AB7" i="11"/>
  <c r="AB8" i="11"/>
  <c r="I48" i="11" l="1"/>
  <c r="I230" i="11"/>
  <c r="I225" i="11"/>
  <c r="I113" i="11"/>
  <c r="I231" i="11"/>
  <c r="I226" i="11"/>
  <c r="I228" i="11"/>
  <c r="I229" i="11"/>
  <c r="I223" i="11"/>
  <c r="I233" i="11"/>
  <c r="I224" i="11"/>
  <c r="I227" i="11"/>
  <c r="I147" i="11"/>
  <c r="I89" i="11"/>
  <c r="I126" i="11"/>
  <c r="I134" i="11" s="1"/>
  <c r="I61" i="11"/>
  <c r="AC69" i="11"/>
  <c r="AC72" i="11" s="1"/>
  <c r="AC126" i="11"/>
  <c r="AC132" i="11" s="1"/>
  <c r="AC234" i="11"/>
  <c r="AB36" i="11"/>
  <c r="I234" i="11" l="1"/>
  <c r="I135" i="11"/>
  <c r="I129" i="11"/>
  <c r="I131" i="11"/>
  <c r="I133" i="11"/>
  <c r="I130" i="11"/>
  <c r="I132" i="11"/>
  <c r="I67" i="11"/>
  <c r="I90" i="11"/>
  <c r="AC130" i="11"/>
  <c r="AC76" i="11"/>
  <c r="AC135" i="11"/>
  <c r="AC133" i="11"/>
  <c r="AC131" i="11"/>
  <c r="AC134" i="11"/>
  <c r="AC129" i="11"/>
  <c r="AB73" i="11"/>
  <c r="AE73" i="11" s="1"/>
  <c r="E125" i="11"/>
  <c r="D125" i="11"/>
  <c r="C125" i="11"/>
  <c r="B125" i="11"/>
  <c r="E124" i="11"/>
  <c r="D124" i="11"/>
  <c r="C124" i="11"/>
  <c r="B124" i="11"/>
  <c r="F125" i="11"/>
  <c r="F124" i="11"/>
  <c r="AA125" i="11"/>
  <c r="Z125" i="11"/>
  <c r="Y125" i="11"/>
  <c r="AD125" i="11" s="1"/>
  <c r="X125" i="11"/>
  <c r="W125" i="11"/>
  <c r="V125" i="11"/>
  <c r="U125" i="11"/>
  <c r="T125" i="11"/>
  <c r="S125" i="11"/>
  <c r="R125" i="11"/>
  <c r="Q125" i="11"/>
  <c r="P125" i="11"/>
  <c r="O125" i="11"/>
  <c r="N125" i="11"/>
  <c r="AA124" i="11"/>
  <c r="Z124" i="11"/>
  <c r="Y124" i="11"/>
  <c r="AD124" i="11" s="1"/>
  <c r="X124" i="11"/>
  <c r="W124" i="11"/>
  <c r="V124" i="11"/>
  <c r="U124" i="11"/>
  <c r="T124" i="11"/>
  <c r="S124" i="11"/>
  <c r="R124" i="11"/>
  <c r="P124" i="11"/>
  <c r="O124" i="11"/>
  <c r="N124" i="11"/>
  <c r="AB125" i="11"/>
  <c r="AE125" i="11" s="1"/>
  <c r="AB124" i="11"/>
  <c r="AE124" i="11" s="1"/>
  <c r="C123" i="11" l="1"/>
  <c r="I69" i="11"/>
  <c r="D123" i="11"/>
  <c r="E123" i="11"/>
  <c r="B123" i="11"/>
  <c r="Z123" i="11"/>
  <c r="R123" i="11"/>
  <c r="V123" i="11"/>
  <c r="W123" i="11"/>
  <c r="X123" i="11"/>
  <c r="P123" i="11"/>
  <c r="N123" i="11"/>
  <c r="T123" i="11"/>
  <c r="O123" i="11"/>
  <c r="AB123" i="11"/>
  <c r="AE123" i="11" s="1"/>
  <c r="F123" i="11"/>
  <c r="Y123" i="11"/>
  <c r="AD123" i="11" s="1"/>
  <c r="S123" i="11"/>
  <c r="AA123" i="11"/>
  <c r="U123" i="11"/>
  <c r="G5" i="11"/>
  <c r="G125" i="11" s="1"/>
  <c r="G6" i="11"/>
  <c r="G4" i="11"/>
  <c r="G124" i="11" s="1"/>
  <c r="H5" i="11"/>
  <c r="J5" i="11" s="1"/>
  <c r="AA8" i="11"/>
  <c r="Z8" i="11"/>
  <c r="Y8" i="11"/>
  <c r="X8" i="11"/>
  <c r="W8" i="11"/>
  <c r="V8" i="11"/>
  <c r="I72" i="11" l="1"/>
  <c r="G123" i="11"/>
  <c r="H125" i="11"/>
  <c r="J125" i="11" s="1"/>
  <c r="I76" i="11" l="1"/>
  <c r="AB265" i="11"/>
  <c r="AB252" i="11"/>
  <c r="AB251" i="11"/>
  <c r="AB250" i="11"/>
  <c r="AB249" i="11"/>
  <c r="AB248" i="11"/>
  <c r="AB245" i="11"/>
  <c r="AB240" i="11"/>
  <c r="AE240" i="11" s="1"/>
  <c r="AB236" i="11"/>
  <c r="AB221" i="11"/>
  <c r="AB209" i="11"/>
  <c r="AB201" i="11"/>
  <c r="AB196" i="11"/>
  <c r="AB190" i="11"/>
  <c r="AE190" i="11" s="1"/>
  <c r="AB187" i="11"/>
  <c r="AE187" i="11" s="1"/>
  <c r="AB181" i="11"/>
  <c r="AB175" i="11"/>
  <c r="AB154" i="11"/>
  <c r="AB151" i="11"/>
  <c r="AB143" i="11"/>
  <c r="AB142" i="11"/>
  <c r="AB148" i="11"/>
  <c r="AB137" i="11"/>
  <c r="AB117" i="11"/>
  <c r="AB116" i="11"/>
  <c r="AB152" i="11"/>
  <c r="AB92" i="11"/>
  <c r="AB86" i="11"/>
  <c r="AE86" i="11" s="1"/>
  <c r="AB62" i="11"/>
  <c r="AE62" i="11" s="1"/>
  <c r="AB60" i="11"/>
  <c r="AE60" i="11" s="1"/>
  <c r="AB58" i="11"/>
  <c r="AE58" i="11" s="1"/>
  <c r="AB53" i="11"/>
  <c r="AB51" i="11"/>
  <c r="AB47" i="11"/>
  <c r="AB45" i="11"/>
  <c r="AE45" i="11" s="1"/>
  <c r="AB44" i="11"/>
  <c r="AE44" i="11" s="1"/>
  <c r="AB42" i="11"/>
  <c r="AE42" i="11" s="1"/>
  <c r="AB40" i="11"/>
  <c r="AE40" i="11" s="1"/>
  <c r="AB33" i="11"/>
  <c r="AB29" i="11"/>
  <c r="U110" i="11"/>
  <c r="U100" i="11"/>
  <c r="U99" i="11"/>
  <c r="AB182" i="11" l="1"/>
  <c r="AE181" i="11"/>
  <c r="AB145" i="11"/>
  <c r="AB147" i="11" s="1"/>
  <c r="AE117" i="11"/>
  <c r="AB75" i="11"/>
  <c r="AE75" i="11" s="1"/>
  <c r="AC155" i="11"/>
  <c r="AE154" i="11"/>
  <c r="AE152" i="11"/>
  <c r="AC153" i="11"/>
  <c r="AB229" i="11"/>
  <c r="AE221" i="11"/>
  <c r="AB225" i="11"/>
  <c r="AB232" i="11"/>
  <c r="AB126" i="11"/>
  <c r="AE126" i="11" s="1"/>
  <c r="AB113" i="11"/>
  <c r="AB227" i="11"/>
  <c r="AB188" i="11"/>
  <c r="AB224" i="11"/>
  <c r="AB233" i="11"/>
  <c r="AB61" i="11"/>
  <c r="AE61" i="11" s="1"/>
  <c r="AB226" i="11"/>
  <c r="AB89" i="11"/>
  <c r="AB231" i="11"/>
  <c r="AB48" i="11"/>
  <c r="AB230" i="11"/>
  <c r="AB228" i="11"/>
  <c r="AB223" i="11"/>
  <c r="U107" i="11"/>
  <c r="AC173" i="11" l="1"/>
  <c r="AE145" i="11"/>
  <c r="AC146" i="11"/>
  <c r="AC170" i="11"/>
  <c r="AC168" i="11"/>
  <c r="AC163" i="11"/>
  <c r="AC165" i="11"/>
  <c r="AC167" i="11"/>
  <c r="AC158" i="11"/>
  <c r="AC159" i="11"/>
  <c r="AC156" i="11"/>
  <c r="AC157" i="11"/>
  <c r="AC160" i="11"/>
  <c r="AC164" i="11"/>
  <c r="AC172" i="11"/>
  <c r="AB129" i="11"/>
  <c r="AB130" i="11"/>
  <c r="AB131" i="11"/>
  <c r="AB132" i="11"/>
  <c r="AB133" i="11"/>
  <c r="AB134" i="11"/>
  <c r="AB135" i="11"/>
  <c r="AB234" i="11"/>
  <c r="AB67" i="11"/>
  <c r="AE67" i="11" s="1"/>
  <c r="AB90" i="11"/>
  <c r="AA119" i="11"/>
  <c r="AC166" i="11" l="1"/>
  <c r="AC169" i="11" s="1"/>
  <c r="AC171" i="11" s="1"/>
  <c r="AC161" i="11"/>
  <c r="AC162" i="11"/>
  <c r="AC149" i="11"/>
  <c r="AB69" i="11"/>
  <c r="AE69" i="11" s="1"/>
  <c r="AA118" i="11"/>
  <c r="AA47" i="11"/>
  <c r="AA36" i="11"/>
  <c r="AA33" i="11"/>
  <c r="AB72" i="11" l="1"/>
  <c r="AE72" i="11" s="1"/>
  <c r="AA73" i="11"/>
  <c r="AA181" i="11"/>
  <c r="AA51" i="11"/>
  <c r="AA248" i="11"/>
  <c r="AA21" i="11"/>
  <c r="AA182" i="11" l="1"/>
  <c r="AB76" i="11"/>
  <c r="AE76" i="11" s="1"/>
  <c r="AA265" i="11"/>
  <c r="AA252" i="11"/>
  <c r="AA251" i="11"/>
  <c r="AA250" i="11"/>
  <c r="AA249" i="11"/>
  <c r="AA245" i="11"/>
  <c r="AA240" i="11"/>
  <c r="AA236" i="11"/>
  <c r="AA221" i="11"/>
  <c r="AA209" i="11"/>
  <c r="AA201" i="11"/>
  <c r="AA196" i="11"/>
  <c r="AA190" i="11"/>
  <c r="AA187" i="11"/>
  <c r="AA175" i="11"/>
  <c r="AA154" i="11"/>
  <c r="AA151" i="11"/>
  <c r="AA143" i="11"/>
  <c r="AA142" i="11"/>
  <c r="AA138" i="11"/>
  <c r="AA148" i="11" s="1"/>
  <c r="AA137" i="11"/>
  <c r="AA117" i="11"/>
  <c r="AA116" i="11"/>
  <c r="AA112" i="11"/>
  <c r="AA101" i="11"/>
  <c r="AA92" i="11"/>
  <c r="AA86" i="11"/>
  <c r="AA62" i="11"/>
  <c r="AA60" i="11"/>
  <c r="AA58" i="11"/>
  <c r="AA53" i="11"/>
  <c r="AA45" i="11"/>
  <c r="AA44" i="11"/>
  <c r="AA42" i="11"/>
  <c r="AA40" i="11"/>
  <c r="AA29" i="11"/>
  <c r="AA7" i="11"/>
  <c r="Z138" i="11"/>
  <c r="Z118" i="11"/>
  <c r="AA152" i="11" l="1"/>
  <c r="AA231" i="11"/>
  <c r="AA75" i="11"/>
  <c r="AB155" i="11"/>
  <c r="AA61" i="11"/>
  <c r="AA188" i="11"/>
  <c r="AA48" i="11"/>
  <c r="AA145" i="11"/>
  <c r="AA224" i="11"/>
  <c r="AA227" i="11"/>
  <c r="AA113" i="11"/>
  <c r="AA233" i="11"/>
  <c r="AA89" i="11"/>
  <c r="AA126" i="11"/>
  <c r="AA230" i="11"/>
  <c r="AA228" i="11"/>
  <c r="AA223" i="11"/>
  <c r="AA229" i="11"/>
  <c r="AA225" i="11"/>
  <c r="AA232" i="11"/>
  <c r="AA226" i="11"/>
  <c r="Z73" i="11"/>
  <c r="AB173" i="11" l="1"/>
  <c r="AE155" i="11"/>
  <c r="AA135" i="11"/>
  <c r="AA134" i="11"/>
  <c r="AA67" i="11"/>
  <c r="AA90" i="11"/>
  <c r="AB146" i="11"/>
  <c r="AE146" i="11" s="1"/>
  <c r="AB153" i="11"/>
  <c r="AE153" i="11" s="1"/>
  <c r="AA147" i="11"/>
  <c r="AA234" i="11"/>
  <c r="AA133" i="11"/>
  <c r="AA132" i="11"/>
  <c r="AA131" i="11"/>
  <c r="AA130" i="11"/>
  <c r="AA129" i="11"/>
  <c r="Z33" i="11"/>
  <c r="AB149" i="11" l="1"/>
  <c r="AA69" i="11"/>
  <c r="AB168" i="11"/>
  <c r="AB160" i="11"/>
  <c r="AB167" i="11"/>
  <c r="AB158" i="11"/>
  <c r="AB163" i="11"/>
  <c r="AB170" i="11"/>
  <c r="AB165" i="11"/>
  <c r="AB157" i="11"/>
  <c r="AB156" i="11"/>
  <c r="AB159" i="11"/>
  <c r="AB164" i="11"/>
  <c r="AB172" i="11"/>
  <c r="Z240" i="11"/>
  <c r="Z221" i="11"/>
  <c r="Z207" i="11"/>
  <c r="Z47" i="11"/>
  <c r="Z36" i="11"/>
  <c r="Z21" i="11"/>
  <c r="AA72" i="11" l="1"/>
  <c r="AB161" i="11"/>
  <c r="AB166" i="11"/>
  <c r="AB169" i="11" s="1"/>
  <c r="AB171" i="11" s="1"/>
  <c r="AB162" i="11"/>
  <c r="X36" i="11"/>
  <c r="W36" i="11"/>
  <c r="V36" i="11"/>
  <c r="U36" i="11"/>
  <c r="T36" i="11"/>
  <c r="Y36" i="11"/>
  <c r="H35" i="11"/>
  <c r="G35" i="11"/>
  <c r="AA76" i="11" l="1"/>
  <c r="Z265" i="11"/>
  <c r="Z252" i="11"/>
  <c r="Z251" i="11"/>
  <c r="Z250" i="11"/>
  <c r="Z249" i="11"/>
  <c r="Z248" i="11"/>
  <c r="Z245" i="11"/>
  <c r="Z236" i="11"/>
  <c r="Z231" i="11"/>
  <c r="Z209" i="11"/>
  <c r="Z201" i="11"/>
  <c r="Z196" i="11"/>
  <c r="Z190" i="11"/>
  <c r="Z187" i="11"/>
  <c r="Z181" i="11"/>
  <c r="Z175" i="11"/>
  <c r="Z154" i="11"/>
  <c r="Z151" i="11"/>
  <c r="Z143" i="11"/>
  <c r="Z142" i="11"/>
  <c r="Z148" i="11"/>
  <c r="Z137" i="11"/>
  <c r="Z117" i="11"/>
  <c r="Z116" i="11"/>
  <c r="Z112" i="11"/>
  <c r="Z101" i="11"/>
  <c r="Z92" i="11"/>
  <c r="Z86" i="11"/>
  <c r="Z62" i="11"/>
  <c r="Z60" i="11"/>
  <c r="Z58" i="11"/>
  <c r="Z53" i="11"/>
  <c r="Z51" i="11"/>
  <c r="Z45" i="11"/>
  <c r="Z44" i="11"/>
  <c r="Z42" i="11"/>
  <c r="Z40" i="11"/>
  <c r="Z29" i="11"/>
  <c r="Z7" i="11"/>
  <c r="F97" i="11"/>
  <c r="F100" i="11"/>
  <c r="P100" i="11"/>
  <c r="P97" i="11"/>
  <c r="O97" i="11"/>
  <c r="O100" i="11"/>
  <c r="N100" i="11"/>
  <c r="N97" i="11"/>
  <c r="E97" i="11"/>
  <c r="E100" i="11"/>
  <c r="T100" i="11"/>
  <c r="T97" i="11"/>
  <c r="S97" i="11"/>
  <c r="S100" i="11"/>
  <c r="R100" i="11"/>
  <c r="R97" i="11"/>
  <c r="V97" i="11"/>
  <c r="W97" i="11"/>
  <c r="X97" i="11"/>
  <c r="Z188" i="11" l="1"/>
  <c r="Z61" i="11"/>
  <c r="Z145" i="11"/>
  <c r="Z182" i="11"/>
  <c r="Z48" i="11"/>
  <c r="Z75" i="11"/>
  <c r="AA155" i="11"/>
  <c r="Z226" i="11"/>
  <c r="Z230" i="11"/>
  <c r="Z227" i="11"/>
  <c r="Z232" i="11"/>
  <c r="Z233" i="11"/>
  <c r="Z113" i="11"/>
  <c r="Z224" i="11"/>
  <c r="Z225" i="11"/>
  <c r="Z89" i="11"/>
  <c r="Z126" i="11"/>
  <c r="Z152" i="11"/>
  <c r="Z228" i="11"/>
  <c r="Z223" i="11"/>
  <c r="Z229" i="11"/>
  <c r="B100" i="11"/>
  <c r="C100" i="11"/>
  <c r="Z135" i="11" l="1"/>
  <c r="Z134" i="11"/>
  <c r="Z90" i="11"/>
  <c r="Z67" i="11"/>
  <c r="AA146" i="11"/>
  <c r="AA173" i="11"/>
  <c r="AA153" i="11"/>
  <c r="Z147" i="11"/>
  <c r="Z133" i="11"/>
  <c r="Z132" i="11"/>
  <c r="Z131" i="11"/>
  <c r="Z130" i="11"/>
  <c r="Z129" i="11"/>
  <c r="Z234" i="11"/>
  <c r="H99" i="11"/>
  <c r="H13" i="11"/>
  <c r="J13" i="11" s="1"/>
  <c r="AA149" i="11" l="1"/>
  <c r="AA157" i="11"/>
  <c r="Z69" i="11"/>
  <c r="AA160" i="11"/>
  <c r="AA168" i="11"/>
  <c r="AA172" i="11"/>
  <c r="AA164" i="11"/>
  <c r="AA156" i="11"/>
  <c r="AA170" i="11"/>
  <c r="AA158" i="11"/>
  <c r="AA163" i="11"/>
  <c r="AA159" i="11"/>
  <c r="AA165" i="11"/>
  <c r="AA167" i="11"/>
  <c r="H12" i="11"/>
  <c r="J12" i="11" s="1"/>
  <c r="G12" i="11"/>
  <c r="AA162" i="11" l="1"/>
  <c r="Z72" i="11"/>
  <c r="AA166" i="11"/>
  <c r="AA169" i="11" s="1"/>
  <c r="AA171" i="11" s="1"/>
  <c r="AA161" i="11"/>
  <c r="Y240" i="11"/>
  <c r="AD240" i="11" s="1"/>
  <c r="Y181" i="11"/>
  <c r="AD181" i="11" s="1"/>
  <c r="Y33" i="11"/>
  <c r="Y7" i="11"/>
  <c r="Z76" i="11" l="1"/>
  <c r="H263" i="11"/>
  <c r="Y73" i="11" l="1"/>
  <c r="AD73" i="11" s="1"/>
  <c r="H143" i="11" l="1"/>
  <c r="Y221" i="11"/>
  <c r="AD221" i="11" s="1"/>
  <c r="Y207" i="11" l="1"/>
  <c r="H21" i="11" l="1"/>
  <c r="Y21" i="11"/>
  <c r="H247" i="11" l="1"/>
  <c r="H246" i="11"/>
  <c r="H243" i="11"/>
  <c r="H242" i="11"/>
  <c r="H239" i="11"/>
  <c r="H238" i="11"/>
  <c r="H237" i="11"/>
  <c r="H220" i="11"/>
  <c r="H219" i="11"/>
  <c r="H216" i="11"/>
  <c r="H215" i="11"/>
  <c r="H217" i="11"/>
  <c r="H214" i="11"/>
  <c r="H218" i="11"/>
  <c r="H213" i="11"/>
  <c r="H211" i="11"/>
  <c r="H212" i="11"/>
  <c r="H210" i="11"/>
  <c r="H207" i="11"/>
  <c r="H206" i="11"/>
  <c r="H205" i="11"/>
  <c r="H204" i="11"/>
  <c r="H203" i="11"/>
  <c r="H202" i="11"/>
  <c r="H199" i="11"/>
  <c r="H198" i="11"/>
  <c r="H197" i="11"/>
  <c r="H194" i="11"/>
  <c r="H193" i="11"/>
  <c r="H192" i="11"/>
  <c r="H191" i="11"/>
  <c r="H186" i="11"/>
  <c r="H185" i="11"/>
  <c r="H180" i="11"/>
  <c r="H179" i="11"/>
  <c r="H178" i="11"/>
  <c r="H177" i="11"/>
  <c r="H140" i="11"/>
  <c r="H139" i="11"/>
  <c r="H122" i="11"/>
  <c r="J122" i="11" s="1"/>
  <c r="H121" i="11"/>
  <c r="J121" i="11" s="1"/>
  <c r="H120" i="11"/>
  <c r="J120" i="11" s="1"/>
  <c r="H119" i="11"/>
  <c r="J119" i="11" s="1"/>
  <c r="H118" i="11"/>
  <c r="J118" i="11" s="1"/>
  <c r="H109" i="11"/>
  <c r="H73" i="11"/>
  <c r="J73" i="11" s="1"/>
  <c r="H71" i="11"/>
  <c r="H16" i="11"/>
  <c r="H15" i="11"/>
  <c r="J15" i="11" s="1"/>
  <c r="H52" i="11"/>
  <c r="H50" i="11"/>
  <c r="H41" i="11"/>
  <c r="H39" i="11"/>
  <c r="H38" i="11"/>
  <c r="H32" i="11"/>
  <c r="H30" i="11"/>
  <c r="H10" i="11"/>
  <c r="J10" i="11" s="1"/>
  <c r="H6" i="11"/>
  <c r="H4" i="11"/>
  <c r="H3" i="11"/>
  <c r="H254" i="11"/>
  <c r="H245" i="11"/>
  <c r="H236" i="11"/>
  <c r="H209" i="11"/>
  <c r="H201" i="11"/>
  <c r="H196" i="11"/>
  <c r="H176" i="11"/>
  <c r="H175" i="11"/>
  <c r="H151" i="11"/>
  <c r="H142" i="11"/>
  <c r="H137" i="11"/>
  <c r="H116" i="11"/>
  <c r="H92" i="11"/>
  <c r="H53" i="11"/>
  <c r="H29" i="11"/>
  <c r="Y265" i="11"/>
  <c r="Y252" i="11"/>
  <c r="Y251" i="11"/>
  <c r="Y250" i="11"/>
  <c r="Y249" i="11"/>
  <c r="Y248" i="11"/>
  <c r="Y245" i="11"/>
  <c r="Y236" i="11"/>
  <c r="Y228" i="11"/>
  <c r="Y209" i="11"/>
  <c r="Y201" i="11"/>
  <c r="Y196" i="11"/>
  <c r="Y190" i="11"/>
  <c r="AD190" i="11" s="1"/>
  <c r="Y187" i="11"/>
  <c r="AD187" i="11" s="1"/>
  <c r="Y182" i="11"/>
  <c r="Y175" i="11"/>
  <c r="Y151" i="11"/>
  <c r="Y143" i="11"/>
  <c r="Y142" i="11"/>
  <c r="Y138" i="11"/>
  <c r="Y148" i="11" s="1"/>
  <c r="Y137" i="11"/>
  <c r="Y117" i="11"/>
  <c r="AD117" i="11" s="1"/>
  <c r="Y116" i="11"/>
  <c r="Y92" i="11"/>
  <c r="Y53" i="11"/>
  <c r="Y51" i="11"/>
  <c r="Y47" i="11"/>
  <c r="Y45" i="11"/>
  <c r="AD45" i="11" s="1"/>
  <c r="Y44" i="11"/>
  <c r="AD44" i="11" s="1"/>
  <c r="Y42" i="11"/>
  <c r="AD42" i="11" s="1"/>
  <c r="Y40" i="11"/>
  <c r="AD40" i="11" s="1"/>
  <c r="Y29" i="11"/>
  <c r="X44" i="11"/>
  <c r="H124" i="11" l="1"/>
  <c r="J124" i="11" s="1"/>
  <c r="J4" i="11"/>
  <c r="H36" i="11"/>
  <c r="J6" i="11"/>
  <c r="I249" i="11"/>
  <c r="I250" i="11"/>
  <c r="I252" i="11"/>
  <c r="I251" i="11"/>
  <c r="H190" i="11"/>
  <c r="J16" i="11"/>
  <c r="H8" i="11"/>
  <c r="J3" i="11"/>
  <c r="H248" i="11"/>
  <c r="H240" i="11"/>
  <c r="Y188" i="11"/>
  <c r="H40" i="11"/>
  <c r="H44" i="11"/>
  <c r="H138" i="11"/>
  <c r="H148" i="11" s="1"/>
  <c r="H33" i="11"/>
  <c r="H181" i="11"/>
  <c r="H182" i="11" s="1"/>
  <c r="H187" i="11"/>
  <c r="H188" i="11" s="1"/>
  <c r="H249" i="11"/>
  <c r="H221" i="11"/>
  <c r="H225" i="11" s="1"/>
  <c r="H117" i="11"/>
  <c r="H250" i="11"/>
  <c r="H252" i="11"/>
  <c r="H42" i="11"/>
  <c r="H47" i="11"/>
  <c r="H51" i="11"/>
  <c r="H45" i="11"/>
  <c r="H251" i="11"/>
  <c r="H7" i="11"/>
  <c r="Y226" i="11"/>
  <c r="Y126" i="11"/>
  <c r="AD126" i="11" s="1"/>
  <c r="Y223" i="11"/>
  <c r="Y229" i="11"/>
  <c r="Y48" i="11"/>
  <c r="Y145" i="11"/>
  <c r="AD145" i="11" s="1"/>
  <c r="Y225" i="11"/>
  <c r="Y232" i="11"/>
  <c r="Y224" i="11"/>
  <c r="Y233" i="11"/>
  <c r="Y231" i="11"/>
  <c r="Y227" i="11"/>
  <c r="Y230" i="11"/>
  <c r="X73" i="11"/>
  <c r="X181" i="11"/>
  <c r="H123" i="11" l="1"/>
  <c r="J123" i="11" s="1"/>
  <c r="H145" i="11"/>
  <c r="J117" i="11"/>
  <c r="Y135" i="11"/>
  <c r="Y134" i="11"/>
  <c r="Y131" i="11"/>
  <c r="Z146" i="11"/>
  <c r="H48" i="11"/>
  <c r="H126" i="11"/>
  <c r="J126" i="11" s="1"/>
  <c r="H232" i="11"/>
  <c r="H231" i="11"/>
  <c r="H227" i="11"/>
  <c r="H223" i="11"/>
  <c r="H233" i="11"/>
  <c r="H229" i="11"/>
  <c r="H228" i="11"/>
  <c r="H226" i="11"/>
  <c r="H224" i="11"/>
  <c r="H230" i="11"/>
  <c r="Y234" i="11"/>
  <c r="Y133" i="11"/>
  <c r="Y129" i="11"/>
  <c r="Y132" i="11"/>
  <c r="Y130" i="11"/>
  <c r="X138" i="11"/>
  <c r="X86" i="11"/>
  <c r="W86" i="11"/>
  <c r="V86" i="11"/>
  <c r="R86" i="11"/>
  <c r="Q86" i="11"/>
  <c r="N86" i="11"/>
  <c r="G86" i="11"/>
  <c r="F86" i="11"/>
  <c r="E86" i="11"/>
  <c r="D86" i="11"/>
  <c r="C86" i="11"/>
  <c r="B86" i="11"/>
  <c r="X117" i="11"/>
  <c r="I146" i="11" l="1"/>
  <c r="J145" i="11"/>
  <c r="H135" i="11"/>
  <c r="H134" i="11"/>
  <c r="H130" i="11"/>
  <c r="H132" i="11"/>
  <c r="H131" i="11"/>
  <c r="H129" i="11"/>
  <c r="H133" i="11"/>
  <c r="H234" i="11"/>
  <c r="X101" i="11"/>
  <c r="X51" i="11" l="1"/>
  <c r="X33" i="11"/>
  <c r="X7" i="11"/>
  <c r="X240" i="11"/>
  <c r="X221" i="11"/>
  <c r="X207" i="11"/>
  <c r="X187" i="11"/>
  <c r="X145" i="11"/>
  <c r="X42" i="11"/>
  <c r="X40" i="11"/>
  <c r="X21" i="11"/>
  <c r="X232" i="11" l="1"/>
  <c r="Y146" i="11"/>
  <c r="AD146" i="11" s="1"/>
  <c r="X245" i="11"/>
  <c r="X53" i="11"/>
  <c r="X265" i="11"/>
  <c r="X252" i="11"/>
  <c r="X251" i="11"/>
  <c r="X250" i="11"/>
  <c r="X249" i="11"/>
  <c r="X248" i="11"/>
  <c r="X236" i="11"/>
  <c r="X226" i="11"/>
  <c r="X209" i="11"/>
  <c r="X201" i="11"/>
  <c r="X196" i="11"/>
  <c r="X190" i="11"/>
  <c r="X188" i="11"/>
  <c r="X182" i="11"/>
  <c r="X175" i="11"/>
  <c r="X154" i="11"/>
  <c r="X151" i="11"/>
  <c r="X143" i="11"/>
  <c r="X142" i="11"/>
  <c r="X148" i="11"/>
  <c r="X137" i="11"/>
  <c r="X116" i="11"/>
  <c r="X112" i="11"/>
  <c r="X92" i="11"/>
  <c r="X62" i="11"/>
  <c r="X60" i="11"/>
  <c r="X58" i="11"/>
  <c r="X47" i="11"/>
  <c r="X45" i="11"/>
  <c r="X29" i="11"/>
  <c r="G221" i="11"/>
  <c r="G226" i="11" s="1"/>
  <c r="F221" i="11"/>
  <c r="F232" i="11" s="1"/>
  <c r="E221" i="11"/>
  <c r="E230" i="11" s="1"/>
  <c r="D221" i="11"/>
  <c r="D229" i="11" s="1"/>
  <c r="C221" i="11"/>
  <c r="C227" i="11" s="1"/>
  <c r="B221" i="11"/>
  <c r="B227" i="11" s="1"/>
  <c r="V221" i="11"/>
  <c r="T221" i="11"/>
  <c r="T232" i="11" s="1"/>
  <c r="S221" i="11"/>
  <c r="S227" i="11" s="1"/>
  <c r="R221" i="11"/>
  <c r="R233" i="11" s="1"/>
  <c r="P221" i="11"/>
  <c r="P231" i="11" s="1"/>
  <c r="O221" i="11"/>
  <c r="O232" i="11" s="1"/>
  <c r="N221" i="11"/>
  <c r="N226" i="11" s="1"/>
  <c r="W221" i="11"/>
  <c r="W232" i="11" l="1"/>
  <c r="V230" i="11"/>
  <c r="X126" i="11"/>
  <c r="X61" i="11"/>
  <c r="X152" i="11"/>
  <c r="X48" i="11"/>
  <c r="V223" i="11"/>
  <c r="X75" i="11"/>
  <c r="N230" i="11"/>
  <c r="X224" i="11"/>
  <c r="X231" i="11"/>
  <c r="X113" i="11"/>
  <c r="V229" i="11"/>
  <c r="V232" i="11"/>
  <c r="V231" i="11"/>
  <c r="T226" i="11"/>
  <c r="T231" i="11"/>
  <c r="N231" i="11"/>
  <c r="X227" i="11"/>
  <c r="O231" i="11"/>
  <c r="X230" i="11"/>
  <c r="X147" i="11"/>
  <c r="X89" i="11"/>
  <c r="X223" i="11"/>
  <c r="X229" i="11"/>
  <c r="X228" i="11"/>
  <c r="X225" i="11"/>
  <c r="X233" i="11"/>
  <c r="O230" i="11"/>
  <c r="T233" i="11"/>
  <c r="N232" i="11"/>
  <c r="V226" i="11"/>
  <c r="S223" i="11"/>
  <c r="G231" i="11"/>
  <c r="R226" i="11"/>
  <c r="G227" i="11"/>
  <c r="V228" i="11"/>
  <c r="O223" i="11"/>
  <c r="F230" i="11"/>
  <c r="W231" i="11"/>
  <c r="B224" i="11"/>
  <c r="W227" i="11"/>
  <c r="R231" i="11"/>
  <c r="N233" i="11"/>
  <c r="E226" i="11"/>
  <c r="W230" i="11"/>
  <c r="V227" i="11"/>
  <c r="T227" i="11"/>
  <c r="N223" i="11"/>
  <c r="N227" i="11"/>
  <c r="O233" i="11"/>
  <c r="F226" i="11"/>
  <c r="W228" i="11"/>
  <c r="B228" i="11"/>
  <c r="S230" i="11"/>
  <c r="N228" i="11"/>
  <c r="E229" i="11"/>
  <c r="W224" i="11"/>
  <c r="V225" i="11"/>
  <c r="V233" i="11"/>
  <c r="S228" i="11"/>
  <c r="O224" i="11"/>
  <c r="N229" i="11"/>
  <c r="G228" i="11"/>
  <c r="F229" i="11"/>
  <c r="W233" i="11"/>
  <c r="N225" i="11"/>
  <c r="N224" i="11"/>
  <c r="G230" i="11"/>
  <c r="W226" i="11"/>
  <c r="V224" i="11"/>
  <c r="T224" i="11"/>
  <c r="S229" i="11"/>
  <c r="O229" i="11"/>
  <c r="F225" i="11"/>
  <c r="B233" i="11"/>
  <c r="C223" i="11"/>
  <c r="R227" i="11"/>
  <c r="P224" i="11"/>
  <c r="P229" i="11"/>
  <c r="C224" i="11"/>
  <c r="E227" i="11"/>
  <c r="S225" i="11"/>
  <c r="R230" i="11"/>
  <c r="F223" i="11"/>
  <c r="D224" i="11"/>
  <c r="C231" i="11"/>
  <c r="F227" i="11"/>
  <c r="D228" i="11"/>
  <c r="B232" i="11"/>
  <c r="E233" i="11"/>
  <c r="T230" i="11"/>
  <c r="S224" i="11"/>
  <c r="S233" i="11"/>
  <c r="R228" i="11"/>
  <c r="G223" i="11"/>
  <c r="G229" i="11"/>
  <c r="B225" i="11"/>
  <c r="E224" i="11"/>
  <c r="D231" i="11"/>
  <c r="B230" i="11"/>
  <c r="E228" i="11"/>
  <c r="C232" i="11"/>
  <c r="F233" i="11"/>
  <c r="W223" i="11"/>
  <c r="W229" i="11"/>
  <c r="T228" i="11"/>
  <c r="S226" i="11"/>
  <c r="R223" i="11"/>
  <c r="R229" i="11"/>
  <c r="O225" i="11"/>
  <c r="O226" i="11"/>
  <c r="O227" i="11"/>
  <c r="O228" i="11"/>
  <c r="G225" i="11"/>
  <c r="G232" i="11"/>
  <c r="C225" i="11"/>
  <c r="F224" i="11"/>
  <c r="E231" i="11"/>
  <c r="C230" i="11"/>
  <c r="F228" i="11"/>
  <c r="D232" i="11"/>
  <c r="W225" i="11"/>
  <c r="T223" i="11"/>
  <c r="T229" i="11"/>
  <c r="S231" i="11"/>
  <c r="R225" i="11"/>
  <c r="R232" i="11"/>
  <c r="P225" i="11"/>
  <c r="P226" i="11"/>
  <c r="P227" i="11"/>
  <c r="P228" i="11"/>
  <c r="P232" i="11"/>
  <c r="G224" i="11"/>
  <c r="G233" i="11"/>
  <c r="D225" i="11"/>
  <c r="B226" i="11"/>
  <c r="F231" i="11"/>
  <c r="D230" i="11"/>
  <c r="B229" i="11"/>
  <c r="E232" i="11"/>
  <c r="D223" i="11"/>
  <c r="D227" i="11"/>
  <c r="C233" i="11"/>
  <c r="P223" i="11"/>
  <c r="P230" i="11"/>
  <c r="P233" i="11"/>
  <c r="E223" i="11"/>
  <c r="C228" i="11"/>
  <c r="D233" i="11"/>
  <c r="S232" i="11"/>
  <c r="T225" i="11"/>
  <c r="R224" i="11"/>
  <c r="B223" i="11"/>
  <c r="E225" i="11"/>
  <c r="C226" i="11"/>
  <c r="C229" i="11"/>
  <c r="D226" i="11"/>
  <c r="W207" i="11"/>
  <c r="X134" i="11" l="1"/>
  <c r="X135" i="11"/>
  <c r="X67" i="11"/>
  <c r="X90" i="11"/>
  <c r="X133" i="11"/>
  <c r="X132" i="11"/>
  <c r="X131" i="11"/>
  <c r="X129" i="11"/>
  <c r="X130" i="11"/>
  <c r="X234" i="11"/>
  <c r="V234" i="11"/>
  <c r="P234" i="11"/>
  <c r="N234" i="11"/>
  <c r="S234" i="11"/>
  <c r="O234" i="11"/>
  <c r="R234" i="11"/>
  <c r="D234" i="11"/>
  <c r="C234" i="11"/>
  <c r="E234" i="11"/>
  <c r="G234" i="11"/>
  <c r="F234" i="11"/>
  <c r="T234" i="11"/>
  <c r="B234" i="11"/>
  <c r="W51" i="11"/>
  <c r="X69" i="11" l="1"/>
  <c r="X72" i="11" l="1"/>
  <c r="W58" i="11"/>
  <c r="X76" i="11" l="1"/>
  <c r="W112" i="11"/>
  <c r="W73" i="11"/>
  <c r="W117" i="11"/>
  <c r="W21" i="11"/>
  <c r="W181" i="11" l="1"/>
  <c r="W143" i="11" l="1"/>
  <c r="W249" i="11" l="1"/>
  <c r="W248" i="11"/>
  <c r="W265" i="11"/>
  <c r="W252" i="11"/>
  <c r="W251" i="11"/>
  <c r="W250" i="11"/>
  <c r="W240" i="11"/>
  <c r="W236" i="11"/>
  <c r="W209" i="11"/>
  <c r="W201" i="11"/>
  <c r="W196" i="11"/>
  <c r="W190" i="11"/>
  <c r="W187" i="11"/>
  <c r="W175" i="11"/>
  <c r="W154" i="11"/>
  <c r="W151" i="11"/>
  <c r="W142" i="11"/>
  <c r="W138" i="11"/>
  <c r="W148" i="11" s="1"/>
  <c r="W137" i="11"/>
  <c r="W116" i="11"/>
  <c r="W152" i="11"/>
  <c r="W101" i="11"/>
  <c r="W92" i="11"/>
  <c r="W62" i="11"/>
  <c r="W60" i="11"/>
  <c r="W53" i="11"/>
  <c r="W47" i="11"/>
  <c r="W45" i="11"/>
  <c r="W44" i="11"/>
  <c r="W42" i="11"/>
  <c r="W40" i="11"/>
  <c r="W33" i="11"/>
  <c r="W29" i="11"/>
  <c r="X153" i="11" l="1"/>
  <c r="W75" i="11"/>
  <c r="X155" i="11"/>
  <c r="W48" i="11"/>
  <c r="W182" i="11"/>
  <c r="W188" i="11"/>
  <c r="W145" i="11"/>
  <c r="W113" i="11"/>
  <c r="W61" i="11"/>
  <c r="W89" i="11"/>
  <c r="G52" i="11"/>
  <c r="V73" i="11"/>
  <c r="X146" i="11" l="1"/>
  <c r="X173" i="11"/>
  <c r="X156" i="11"/>
  <c r="X159" i="11"/>
  <c r="X157" i="11"/>
  <c r="X168" i="11"/>
  <c r="X170" i="11"/>
  <c r="X167" i="11"/>
  <c r="X165" i="11"/>
  <c r="X158" i="11"/>
  <c r="X163" i="11"/>
  <c r="X160" i="11"/>
  <c r="X164" i="11"/>
  <c r="X172" i="11"/>
  <c r="W147" i="11"/>
  <c r="W67" i="11"/>
  <c r="W90" i="11"/>
  <c r="W234" i="11"/>
  <c r="V112" i="11"/>
  <c r="X161" i="11" l="1"/>
  <c r="W69" i="11"/>
  <c r="X166" i="11"/>
  <c r="X169" i="11" s="1"/>
  <c r="X171" i="11" s="1"/>
  <c r="X149" i="11"/>
  <c r="X162" i="11"/>
  <c r="V154" i="11"/>
  <c r="W72" i="11" l="1"/>
  <c r="W155" i="11"/>
  <c r="V265" i="11"/>
  <c r="V252" i="11"/>
  <c r="V251" i="11"/>
  <c r="V250" i="11"/>
  <c r="V249" i="11"/>
  <c r="V248" i="11"/>
  <c r="V240" i="11"/>
  <c r="V236" i="11"/>
  <c r="V209" i="11"/>
  <c r="V207" i="11"/>
  <c r="V201" i="11"/>
  <c r="V196" i="11"/>
  <c r="V190" i="11"/>
  <c r="V187" i="11"/>
  <c r="V181" i="11"/>
  <c r="V175" i="11"/>
  <c r="V151" i="11"/>
  <c r="V142" i="11"/>
  <c r="V138" i="11"/>
  <c r="V148" i="11" s="1"/>
  <c r="V137" i="11"/>
  <c r="V116" i="11"/>
  <c r="V101" i="11"/>
  <c r="V92" i="11"/>
  <c r="V75" i="11"/>
  <c r="V62" i="11"/>
  <c r="V60" i="11"/>
  <c r="V53" i="11"/>
  <c r="V51" i="11"/>
  <c r="V47" i="11"/>
  <c r="V45" i="11"/>
  <c r="V44" i="11"/>
  <c r="V42" i="11"/>
  <c r="V40" i="11"/>
  <c r="V33" i="11"/>
  <c r="V29" i="11"/>
  <c r="V21" i="11"/>
  <c r="V7" i="11"/>
  <c r="S70" i="11"/>
  <c r="W76" i="11" l="1"/>
  <c r="V182" i="11"/>
  <c r="V188" i="11"/>
  <c r="V57" i="11"/>
  <c r="V48" i="11"/>
  <c r="V113" i="11"/>
  <c r="V152" i="11"/>
  <c r="V117" i="11"/>
  <c r="B79" i="11"/>
  <c r="W173" i="11" l="1"/>
  <c r="V58" i="11"/>
  <c r="W153" i="11"/>
  <c r="V145" i="11"/>
  <c r="V126" i="11"/>
  <c r="P252" i="11"/>
  <c r="O252" i="11"/>
  <c r="P251" i="11"/>
  <c r="O251" i="11"/>
  <c r="P250" i="11"/>
  <c r="O250" i="11"/>
  <c r="P249" i="11"/>
  <c r="O249" i="11"/>
  <c r="V135" i="11" l="1"/>
  <c r="V134" i="11"/>
  <c r="V61" i="11"/>
  <c r="W165" i="11"/>
  <c r="V89" i="11"/>
  <c r="W167" i="11"/>
  <c r="W164" i="11"/>
  <c r="W168" i="11"/>
  <c r="W163" i="11"/>
  <c r="W170" i="11"/>
  <c r="W160" i="11"/>
  <c r="W158" i="11"/>
  <c r="W172" i="11"/>
  <c r="W159" i="11"/>
  <c r="W156" i="11"/>
  <c r="W146" i="11"/>
  <c r="W157" i="11"/>
  <c r="V147" i="11"/>
  <c r="V133" i="11"/>
  <c r="V131" i="11"/>
  <c r="V129" i="11"/>
  <c r="V130" i="11"/>
  <c r="V132" i="11"/>
  <c r="N252" i="11"/>
  <c r="N251" i="11"/>
  <c r="N250" i="11"/>
  <c r="N249" i="11"/>
  <c r="P248" i="11"/>
  <c r="O248" i="11"/>
  <c r="N248" i="11"/>
  <c r="V90" i="11" l="1"/>
  <c r="V67" i="11"/>
  <c r="V69" i="11" s="1"/>
  <c r="W166" i="11"/>
  <c r="W169" i="11" s="1"/>
  <c r="W171" i="11" s="1"/>
  <c r="W162" i="11"/>
  <c r="W161" i="11"/>
  <c r="W149" i="11"/>
  <c r="T252" i="11"/>
  <c r="S252" i="11"/>
  <c r="U252" i="11"/>
  <c r="U250" i="11"/>
  <c r="T250" i="11"/>
  <c r="S250" i="11"/>
  <c r="V72" i="11" l="1"/>
  <c r="G68" i="11"/>
  <c r="U50" i="11"/>
  <c r="V76" i="11" l="1"/>
  <c r="S251" i="11"/>
  <c r="T251" i="11"/>
  <c r="U251" i="11"/>
  <c r="S249" i="11"/>
  <c r="T249" i="11"/>
  <c r="U249" i="11"/>
  <c r="U248" i="11"/>
  <c r="T248" i="11"/>
  <c r="S248" i="11"/>
  <c r="R248" i="11"/>
  <c r="Q247" i="11"/>
  <c r="Q246" i="11"/>
  <c r="Q248" i="11" l="1"/>
  <c r="Q250" i="11"/>
  <c r="R250" i="11"/>
  <c r="R251" i="11"/>
  <c r="Q252" i="11"/>
  <c r="R252" i="11"/>
  <c r="Q249" i="11"/>
  <c r="R249" i="11"/>
  <c r="Q251" i="11"/>
  <c r="D250" i="11"/>
  <c r="E250" i="11"/>
  <c r="F250" i="11"/>
  <c r="C250" i="11"/>
  <c r="D249" i="11"/>
  <c r="E249" i="11"/>
  <c r="F249" i="11"/>
  <c r="C249" i="11"/>
  <c r="D251" i="11"/>
  <c r="E251" i="11"/>
  <c r="F251" i="11"/>
  <c r="C251" i="11"/>
  <c r="D252" i="11"/>
  <c r="E252" i="11"/>
  <c r="F252" i="11"/>
  <c r="C252" i="11"/>
  <c r="Q56" i="11" l="1"/>
  <c r="U56" i="11"/>
  <c r="U243" i="11"/>
  <c r="U242" i="11"/>
  <c r="U238" i="11"/>
  <c r="U239" i="11"/>
  <c r="U237" i="11"/>
  <c r="U212" i="11"/>
  <c r="U211" i="11"/>
  <c r="U214" i="11"/>
  <c r="U217" i="11"/>
  <c r="U213" i="11"/>
  <c r="U215" i="11"/>
  <c r="U216" i="11"/>
  <c r="U220" i="11"/>
  <c r="U219" i="11"/>
  <c r="U218" i="11"/>
  <c r="U210" i="11"/>
  <c r="G207" i="11"/>
  <c r="U203" i="11"/>
  <c r="U204" i="11"/>
  <c r="U205" i="11"/>
  <c r="U206" i="11"/>
  <c r="U202" i="11"/>
  <c r="U198" i="11"/>
  <c r="U199" i="11"/>
  <c r="U197" i="11"/>
  <c r="U192" i="11"/>
  <c r="U193" i="11"/>
  <c r="U194" i="11"/>
  <c r="U191" i="11"/>
  <c r="U186" i="11"/>
  <c r="U185" i="11"/>
  <c r="U178" i="11"/>
  <c r="U179" i="11"/>
  <c r="U180" i="11"/>
  <c r="U177" i="11"/>
  <c r="U140" i="11"/>
  <c r="U139" i="11"/>
  <c r="U119" i="11"/>
  <c r="U120" i="11"/>
  <c r="U121" i="11"/>
  <c r="U122" i="11"/>
  <c r="U118" i="11"/>
  <c r="U105" i="11"/>
  <c r="U106" i="11"/>
  <c r="U108" i="11"/>
  <c r="U109" i="11"/>
  <c r="U111" i="11"/>
  <c r="U104" i="11"/>
  <c r="U95" i="11"/>
  <c r="U96" i="11"/>
  <c r="U97" i="11"/>
  <c r="U98" i="11"/>
  <c r="U94" i="11"/>
  <c r="G73" i="11"/>
  <c r="G41" i="11"/>
  <c r="G39" i="11"/>
  <c r="G38" i="11"/>
  <c r="G32" i="11"/>
  <c r="G30" i="11"/>
  <c r="U73" i="11" l="1"/>
  <c r="U221" i="11"/>
  <c r="G16" i="11"/>
  <c r="G15" i="11"/>
  <c r="G10" i="11"/>
  <c r="G3" i="11"/>
  <c r="G36" i="11" l="1"/>
  <c r="U228" i="11"/>
  <c r="U223" i="11"/>
  <c r="U232" i="11"/>
  <c r="U225" i="11"/>
  <c r="U233" i="11"/>
  <c r="U226" i="11"/>
  <c r="U230" i="11"/>
  <c r="U229" i="11"/>
  <c r="U224" i="11"/>
  <c r="U231" i="11"/>
  <c r="U227" i="11"/>
  <c r="G251" i="11"/>
  <c r="G249" i="11"/>
  <c r="G252" i="11"/>
  <c r="G250" i="11"/>
  <c r="U207" i="11"/>
  <c r="T155" i="11"/>
  <c r="T240" i="11"/>
  <c r="T236" i="11"/>
  <c r="T209" i="11"/>
  <c r="T207" i="11"/>
  <c r="T201" i="11"/>
  <c r="T196" i="11"/>
  <c r="T190" i="11"/>
  <c r="T187" i="11"/>
  <c r="T181" i="11"/>
  <c r="T175" i="11"/>
  <c r="T151" i="11"/>
  <c r="T143" i="11"/>
  <c r="T142" i="11"/>
  <c r="T138" i="11"/>
  <c r="T148" i="11" s="1"/>
  <c r="T137" i="11"/>
  <c r="T117" i="11"/>
  <c r="T116" i="11"/>
  <c r="T112" i="11"/>
  <c r="T101" i="11"/>
  <c r="T92" i="11"/>
  <c r="T83" i="11"/>
  <c r="T86" i="11" s="1"/>
  <c r="T73" i="11"/>
  <c r="T62" i="11"/>
  <c r="T60" i="11"/>
  <c r="T53" i="11"/>
  <c r="T51" i="11"/>
  <c r="T47" i="11"/>
  <c r="T45" i="11"/>
  <c r="T44" i="11"/>
  <c r="T42" i="11"/>
  <c r="T40" i="11"/>
  <c r="T33" i="11"/>
  <c r="T29" i="11"/>
  <c r="T21" i="11"/>
  <c r="T7" i="11"/>
  <c r="G62" i="11"/>
  <c r="G263" i="11"/>
  <c r="G254" i="11"/>
  <c r="G248" i="11"/>
  <c r="G245" i="11"/>
  <c r="G240" i="11"/>
  <c r="G236" i="11"/>
  <c r="G209" i="11"/>
  <c r="G201" i="11"/>
  <c r="G196" i="11"/>
  <c r="G190" i="11"/>
  <c r="G187" i="11"/>
  <c r="G188" i="11" s="1"/>
  <c r="G181" i="11"/>
  <c r="G176" i="11"/>
  <c r="G175" i="11"/>
  <c r="G154" i="11"/>
  <c r="G151" i="11"/>
  <c r="G142" i="11"/>
  <c r="G138" i="11"/>
  <c r="G148" i="11" s="1"/>
  <c r="G137" i="11"/>
  <c r="G117" i="11"/>
  <c r="G116" i="11"/>
  <c r="G112" i="11"/>
  <c r="G101" i="11"/>
  <c r="G152" i="11" s="1"/>
  <c r="G92" i="11"/>
  <c r="G57" i="11"/>
  <c r="G60" i="11"/>
  <c r="G53" i="11"/>
  <c r="G47" i="11"/>
  <c r="G45" i="11"/>
  <c r="G44" i="11"/>
  <c r="G42" i="11"/>
  <c r="G40" i="11"/>
  <c r="G33" i="11"/>
  <c r="G29" i="11"/>
  <c r="G21" i="11"/>
  <c r="G7" i="11"/>
  <c r="G145" i="11" l="1"/>
  <c r="G147" i="11" s="1"/>
  <c r="G58" i="11"/>
  <c r="G89" i="11" s="1"/>
  <c r="U154" i="11"/>
  <c r="T75" i="11"/>
  <c r="T57" i="11"/>
  <c r="T152" i="11"/>
  <c r="U234" i="11"/>
  <c r="T145" i="11"/>
  <c r="T182" i="11"/>
  <c r="T188" i="11"/>
  <c r="T48" i="11"/>
  <c r="G182" i="11"/>
  <c r="T113" i="11"/>
  <c r="T126" i="11"/>
  <c r="G75" i="11"/>
  <c r="G113" i="11"/>
  <c r="G48" i="11"/>
  <c r="G126" i="11"/>
  <c r="T135" i="11" l="1"/>
  <c r="T134" i="11"/>
  <c r="G134" i="11"/>
  <c r="G135" i="11"/>
  <c r="U155" i="11"/>
  <c r="G61" i="11"/>
  <c r="V155" i="11"/>
  <c r="V173" i="11" s="1"/>
  <c r="H146" i="11"/>
  <c r="J146" i="11" s="1"/>
  <c r="T147" i="11"/>
  <c r="T58" i="11"/>
  <c r="T153" i="11"/>
  <c r="T132" i="11"/>
  <c r="T131" i="11"/>
  <c r="T129" i="11"/>
  <c r="T133" i="11"/>
  <c r="T130" i="11"/>
  <c r="G133" i="11"/>
  <c r="G132" i="11"/>
  <c r="G131" i="11"/>
  <c r="G130" i="11"/>
  <c r="G129" i="11"/>
  <c r="S155" i="11"/>
  <c r="R155" i="11"/>
  <c r="Q155" i="11"/>
  <c r="P155" i="11"/>
  <c r="O155" i="11"/>
  <c r="P153" i="11"/>
  <c r="Q153" i="11"/>
  <c r="R153" i="11"/>
  <c r="S153" i="11"/>
  <c r="O153" i="11"/>
  <c r="P73" i="11"/>
  <c r="P83" i="11"/>
  <c r="P86" i="11" s="1"/>
  <c r="G90" i="11" l="1"/>
  <c r="G67" i="11"/>
  <c r="T159" i="11"/>
  <c r="T61" i="11"/>
  <c r="T67" i="11" s="1"/>
  <c r="T167" i="11"/>
  <c r="T158" i="11"/>
  <c r="T170" i="11"/>
  <c r="T165" i="11"/>
  <c r="T157" i="11"/>
  <c r="T163" i="11"/>
  <c r="T156" i="11"/>
  <c r="T160" i="11"/>
  <c r="T168" i="11"/>
  <c r="T89" i="11"/>
  <c r="U75" i="11"/>
  <c r="P190" i="11"/>
  <c r="S168" i="11"/>
  <c r="G69" i="11" l="1"/>
  <c r="T162" i="11"/>
  <c r="T90" i="11"/>
  <c r="T161" i="11"/>
  <c r="T164" i="11"/>
  <c r="T166" i="11" s="1"/>
  <c r="T169" i="11" s="1"/>
  <c r="T171" i="11" s="1"/>
  <c r="T69" i="11"/>
  <c r="F254" i="11"/>
  <c r="E254" i="11"/>
  <c r="D254" i="11"/>
  <c r="C254" i="11"/>
  <c r="B254" i="11"/>
  <c r="F245" i="11"/>
  <c r="E245" i="11"/>
  <c r="D245" i="11"/>
  <c r="C245" i="11"/>
  <c r="B245" i="11"/>
  <c r="AE236" i="11"/>
  <c r="AD236" i="11"/>
  <c r="U236" i="11"/>
  <c r="S236" i="11"/>
  <c r="R236" i="11"/>
  <c r="Q236" i="11"/>
  <c r="P236" i="11"/>
  <c r="O236" i="11"/>
  <c r="N236" i="11"/>
  <c r="F236" i="11"/>
  <c r="E236" i="11"/>
  <c r="D236" i="11"/>
  <c r="C236" i="11"/>
  <c r="B236" i="11"/>
  <c r="AE209" i="11"/>
  <c r="AD209" i="11"/>
  <c r="U209" i="11"/>
  <c r="S209" i="11"/>
  <c r="R209" i="11"/>
  <c r="Q209" i="11"/>
  <c r="P209" i="11"/>
  <c r="O209" i="11"/>
  <c r="N209" i="11"/>
  <c r="F209" i="11"/>
  <c r="E209" i="11"/>
  <c r="D209" i="11"/>
  <c r="C209" i="11"/>
  <c r="B209" i="11"/>
  <c r="U201" i="11"/>
  <c r="S201" i="11"/>
  <c r="R201" i="11"/>
  <c r="Q201" i="11"/>
  <c r="P201" i="11"/>
  <c r="O201" i="11"/>
  <c r="N201" i="11"/>
  <c r="F201" i="11"/>
  <c r="E201" i="11"/>
  <c r="D201" i="11"/>
  <c r="C201" i="11"/>
  <c r="B201" i="11"/>
  <c r="U196" i="11"/>
  <c r="S196" i="11"/>
  <c r="R196" i="11"/>
  <c r="Q196" i="11"/>
  <c r="P196" i="11"/>
  <c r="O196" i="11"/>
  <c r="N196" i="11"/>
  <c r="F196" i="11"/>
  <c r="E196" i="11"/>
  <c r="D196" i="11"/>
  <c r="C196" i="11"/>
  <c r="B196" i="11"/>
  <c r="AE175" i="11"/>
  <c r="AD175" i="11"/>
  <c r="U175" i="11"/>
  <c r="S175" i="11"/>
  <c r="R175" i="11"/>
  <c r="Q175" i="11"/>
  <c r="P175" i="11"/>
  <c r="O175" i="11"/>
  <c r="N175" i="11"/>
  <c r="F175" i="11"/>
  <c r="E175" i="11"/>
  <c r="D175" i="11"/>
  <c r="C175" i="11"/>
  <c r="B175" i="11"/>
  <c r="AE151" i="11"/>
  <c r="AD151" i="11"/>
  <c r="U151" i="11"/>
  <c r="S151" i="11"/>
  <c r="R151" i="11"/>
  <c r="Q151" i="11"/>
  <c r="P151" i="11"/>
  <c r="O151" i="11"/>
  <c r="N151" i="11"/>
  <c r="F151" i="11"/>
  <c r="E151" i="11"/>
  <c r="D151" i="11"/>
  <c r="C151" i="11"/>
  <c r="B151" i="11"/>
  <c r="AE142" i="11"/>
  <c r="AD142" i="11"/>
  <c r="U142" i="11"/>
  <c r="S142" i="11"/>
  <c r="R142" i="11"/>
  <c r="Q142" i="11"/>
  <c r="P142" i="11"/>
  <c r="O142" i="11"/>
  <c r="N142" i="11"/>
  <c r="J142" i="11"/>
  <c r="F142" i="11"/>
  <c r="E142" i="11"/>
  <c r="D142" i="11"/>
  <c r="C142" i="11"/>
  <c r="B142" i="11"/>
  <c r="U137" i="11"/>
  <c r="S137" i="11"/>
  <c r="R137" i="11"/>
  <c r="Q137" i="11"/>
  <c r="P137" i="11"/>
  <c r="O137" i="11"/>
  <c r="N137" i="11"/>
  <c r="J137" i="11"/>
  <c r="F137" i="11"/>
  <c r="E137" i="11"/>
  <c r="D137" i="11"/>
  <c r="C137" i="11"/>
  <c r="B137" i="11"/>
  <c r="AE116" i="11"/>
  <c r="AD116" i="11"/>
  <c r="U116" i="11"/>
  <c r="S116" i="11"/>
  <c r="R116" i="11"/>
  <c r="Q116" i="11"/>
  <c r="P116" i="11"/>
  <c r="O116" i="11"/>
  <c r="N116" i="11"/>
  <c r="J116" i="11"/>
  <c r="F116" i="11"/>
  <c r="E116" i="11"/>
  <c r="D116" i="11"/>
  <c r="C116" i="11"/>
  <c r="B116" i="11"/>
  <c r="F92" i="11"/>
  <c r="E92" i="11"/>
  <c r="D92" i="11"/>
  <c r="C92" i="11"/>
  <c r="B92" i="11"/>
  <c r="J92" i="11"/>
  <c r="R92" i="11"/>
  <c r="Q92" i="11"/>
  <c r="P92" i="11"/>
  <c r="O92" i="11"/>
  <c r="N92" i="11"/>
  <c r="U92" i="11"/>
  <c r="AD92" i="11"/>
  <c r="AE92" i="11"/>
  <c r="S92" i="11"/>
  <c r="AE53" i="11"/>
  <c r="AD53" i="11"/>
  <c r="U53" i="11"/>
  <c r="S53" i="11"/>
  <c r="AE29" i="11"/>
  <c r="AD29" i="11"/>
  <c r="G72" i="11" l="1"/>
  <c r="T72" i="11"/>
  <c r="J53" i="11"/>
  <c r="P62" i="11"/>
  <c r="P7" i="11"/>
  <c r="P21" i="11"/>
  <c r="P117" i="11"/>
  <c r="P145" i="11" s="1"/>
  <c r="P138" i="11"/>
  <c r="P148" i="11" s="1"/>
  <c r="P143" i="11"/>
  <c r="P53" i="11"/>
  <c r="P60" i="11"/>
  <c r="P75" i="11"/>
  <c r="P57" i="11"/>
  <c r="P58" i="11" s="1"/>
  <c r="P29" i="11"/>
  <c r="P33" i="11"/>
  <c r="P40" i="11"/>
  <c r="P42" i="11"/>
  <c r="P44" i="11"/>
  <c r="P45" i="11"/>
  <c r="P47" i="11"/>
  <c r="P51" i="11"/>
  <c r="P52" i="11" s="1"/>
  <c r="P156" i="11"/>
  <c r="P207" i="11"/>
  <c r="P181" i="11"/>
  <c r="P182" i="11" s="1"/>
  <c r="P187" i="11"/>
  <c r="P188" i="11" s="1"/>
  <c r="P240" i="11"/>
  <c r="P101" i="11"/>
  <c r="P112" i="11"/>
  <c r="U7" i="11"/>
  <c r="U21" i="11"/>
  <c r="U117" i="11"/>
  <c r="U138" i="11"/>
  <c r="U148" i="11" s="1"/>
  <c r="U29" i="11"/>
  <c r="U33" i="11"/>
  <c r="U40" i="11"/>
  <c r="U42" i="11"/>
  <c r="U44" i="11"/>
  <c r="U45" i="11"/>
  <c r="U47" i="11"/>
  <c r="U190" i="11"/>
  <c r="U181" i="11"/>
  <c r="U187" i="11"/>
  <c r="U240" i="11"/>
  <c r="U101" i="11"/>
  <c r="U112" i="11"/>
  <c r="E7" i="11"/>
  <c r="E20" i="11"/>
  <c r="E117" i="11"/>
  <c r="E145" i="11" s="1"/>
  <c r="E138" i="11"/>
  <c r="E148" i="11" s="1"/>
  <c r="E53" i="11"/>
  <c r="E58" i="11"/>
  <c r="E61" i="11" s="1"/>
  <c r="E60" i="11"/>
  <c r="E62" i="11"/>
  <c r="E29" i="11"/>
  <c r="E33" i="11"/>
  <c r="E40" i="11"/>
  <c r="E42" i="11"/>
  <c r="E44" i="11"/>
  <c r="E45" i="11"/>
  <c r="E47" i="11"/>
  <c r="E51" i="11"/>
  <c r="E52" i="11" s="1"/>
  <c r="E154" i="11"/>
  <c r="E190" i="11"/>
  <c r="E207" i="11"/>
  <c r="E176" i="11"/>
  <c r="E181" i="11"/>
  <c r="E182" i="11" s="1"/>
  <c r="E187" i="11"/>
  <c r="E188" i="11" s="1"/>
  <c r="E240" i="11"/>
  <c r="E101" i="11"/>
  <c r="E152" i="11" s="1"/>
  <c r="E112" i="11"/>
  <c r="E248" i="11"/>
  <c r="E263" i="11"/>
  <c r="E21" i="11" l="1"/>
  <c r="E25" i="11"/>
  <c r="E26" i="11"/>
  <c r="G76" i="11"/>
  <c r="T76" i="11"/>
  <c r="U152" i="11"/>
  <c r="E75" i="11"/>
  <c r="E67" i="11"/>
  <c r="U182" i="11"/>
  <c r="U188" i="11"/>
  <c r="U145" i="11"/>
  <c r="E113" i="11"/>
  <c r="U113" i="11"/>
  <c r="U126" i="11"/>
  <c r="U48" i="11"/>
  <c r="E147" i="11"/>
  <c r="P113" i="11"/>
  <c r="P126" i="11"/>
  <c r="P147" i="11"/>
  <c r="P158" i="11"/>
  <c r="P48" i="11"/>
  <c r="P160" i="11"/>
  <c r="P161" i="11" s="1"/>
  <c r="P165" i="11"/>
  <c r="P163" i="11"/>
  <c r="P89" i="11"/>
  <c r="P61" i="11"/>
  <c r="P159" i="11"/>
  <c r="P168" i="11"/>
  <c r="P170" i="11"/>
  <c r="P167" i="11"/>
  <c r="P157" i="11"/>
  <c r="E48" i="11"/>
  <c r="E90" i="11"/>
  <c r="E126" i="11"/>
  <c r="E89" i="11"/>
  <c r="P132" i="11" l="1"/>
  <c r="P135" i="11"/>
  <c r="P134" i="11"/>
  <c r="U134" i="11"/>
  <c r="U135" i="11"/>
  <c r="E135" i="11"/>
  <c r="E134" i="11"/>
  <c r="V146" i="11"/>
  <c r="V153" i="11"/>
  <c r="U147" i="11"/>
  <c r="U146" i="11"/>
  <c r="U153" i="11"/>
  <c r="E69" i="11"/>
  <c r="E72" i="11" s="1"/>
  <c r="P67" i="11"/>
  <c r="U131" i="11"/>
  <c r="U133" i="11"/>
  <c r="U130" i="11"/>
  <c r="U129" i="11"/>
  <c r="U132" i="11"/>
  <c r="P131" i="11"/>
  <c r="P133" i="11"/>
  <c r="P129" i="11"/>
  <c r="P130" i="11"/>
  <c r="E129" i="11"/>
  <c r="E131" i="11"/>
  <c r="E133" i="11"/>
  <c r="E130" i="11"/>
  <c r="E132" i="11"/>
  <c r="P162" i="11"/>
  <c r="P90" i="11"/>
  <c r="V149" i="11" l="1"/>
  <c r="V157" i="11"/>
  <c r="V156" i="11"/>
  <c r="V158" i="11"/>
  <c r="V160" i="11"/>
  <c r="V159" i="11"/>
  <c r="V165" i="11"/>
  <c r="V170" i="11"/>
  <c r="V167" i="11"/>
  <c r="V168" i="11"/>
  <c r="V163" i="11"/>
  <c r="V164" i="11"/>
  <c r="V172" i="11"/>
  <c r="U170" i="11"/>
  <c r="U156" i="11"/>
  <c r="U168" i="11"/>
  <c r="U157" i="11"/>
  <c r="P69" i="11"/>
  <c r="P72" i="11" s="1"/>
  <c r="P164" i="11"/>
  <c r="P166" i="11" s="1"/>
  <c r="P169" i="11" s="1"/>
  <c r="P171" i="11" s="1"/>
  <c r="V161" i="11" l="1"/>
  <c r="V162" i="11"/>
  <c r="V166" i="11"/>
  <c r="V169" i="11" s="1"/>
  <c r="V171" i="11" s="1"/>
  <c r="U167" i="11" l="1"/>
  <c r="R138" i="11"/>
  <c r="Q168" i="11" l="1"/>
  <c r="B168" i="11"/>
  <c r="Q57" i="11"/>
  <c r="N57" i="11"/>
  <c r="O82" i="11"/>
  <c r="S82" i="11"/>
  <c r="S85" i="11"/>
  <c r="O83" i="11"/>
  <c r="S83" i="11"/>
  <c r="O86" i="11" l="1"/>
  <c r="O57" i="11" s="1"/>
  <c r="S86" i="11"/>
  <c r="U83" i="11"/>
  <c r="U85" i="11"/>
  <c r="R57" i="11"/>
  <c r="F57" i="11"/>
  <c r="O168" i="11"/>
  <c r="R168" i="11"/>
  <c r="O70" i="11"/>
  <c r="Q70" i="11" s="1"/>
  <c r="O68" i="11"/>
  <c r="Q68" i="11" s="1"/>
  <c r="S68" i="11"/>
  <c r="O59" i="11"/>
  <c r="S59" i="11"/>
  <c r="O65" i="11"/>
  <c r="Q65" i="11" s="1"/>
  <c r="O63" i="11"/>
  <c r="Q63" i="11" s="1"/>
  <c r="S65" i="11"/>
  <c r="S63" i="11"/>
  <c r="O73" i="11"/>
  <c r="U86" i="11" l="1"/>
  <c r="S57" i="11"/>
  <c r="U59" i="11"/>
  <c r="U63" i="11"/>
  <c r="U65" i="11"/>
  <c r="U165" i="11"/>
  <c r="S73" i="11"/>
  <c r="U160" i="11" l="1"/>
  <c r="U161" i="11" s="1"/>
  <c r="U60" i="11"/>
  <c r="U57" i="11"/>
  <c r="U62" i="11"/>
  <c r="Q203" i="11"/>
  <c r="Q204" i="11"/>
  <c r="Q205" i="11"/>
  <c r="Q206" i="11"/>
  <c r="F207" i="11"/>
  <c r="D207" i="11"/>
  <c r="N207" i="11"/>
  <c r="O207" i="11"/>
  <c r="R207" i="11"/>
  <c r="S207" i="11"/>
  <c r="B207" i="11"/>
  <c r="C207" i="11"/>
  <c r="U158" i="11" l="1"/>
  <c r="U58" i="11"/>
  <c r="U163" i="11"/>
  <c r="O47" i="11"/>
  <c r="S138" i="11"/>
  <c r="S148" i="11" s="1"/>
  <c r="O53" i="11"/>
  <c r="O112" i="11"/>
  <c r="O101" i="11"/>
  <c r="O240" i="11"/>
  <c r="O187" i="11"/>
  <c r="O188" i="11" s="1"/>
  <c r="O181" i="11"/>
  <c r="O182" i="11" s="1"/>
  <c r="O170" i="11"/>
  <c r="O167" i="11"/>
  <c r="O165" i="11"/>
  <c r="O160" i="11"/>
  <c r="O158" i="11"/>
  <c r="O157" i="11"/>
  <c r="O156" i="11"/>
  <c r="O51" i="11"/>
  <c r="O52" i="11" s="1"/>
  <c r="O45" i="11"/>
  <c r="O40" i="11"/>
  <c r="O29" i="11"/>
  <c r="O75" i="11"/>
  <c r="O62" i="11"/>
  <c r="O60" i="11"/>
  <c r="O58" i="11"/>
  <c r="O61" i="11" s="1"/>
  <c r="O143" i="11"/>
  <c r="O138" i="11"/>
  <c r="O148" i="11" s="1"/>
  <c r="O117" i="11"/>
  <c r="O21" i="11"/>
  <c r="O7" i="11"/>
  <c r="S112" i="11"/>
  <c r="S101" i="11"/>
  <c r="S240" i="11"/>
  <c r="S187" i="11"/>
  <c r="S181" i="11"/>
  <c r="S190" i="11"/>
  <c r="S170" i="11"/>
  <c r="S167" i="11"/>
  <c r="S165" i="11"/>
  <c r="S160" i="11"/>
  <c r="S158" i="11"/>
  <c r="S157" i="11"/>
  <c r="S156" i="11"/>
  <c r="S51" i="11"/>
  <c r="S52" i="11" s="1"/>
  <c r="S47" i="11"/>
  <c r="S45" i="11"/>
  <c r="S44" i="11"/>
  <c r="S42" i="11"/>
  <c r="S40" i="11"/>
  <c r="S33" i="11"/>
  <c r="S29" i="11"/>
  <c r="S75" i="11"/>
  <c r="S62" i="11"/>
  <c r="S60" i="11"/>
  <c r="S58" i="11"/>
  <c r="S143" i="11"/>
  <c r="S117" i="11"/>
  <c r="S21" i="11"/>
  <c r="S7" i="11"/>
  <c r="O67" i="11" l="1"/>
  <c r="O69" i="11" s="1"/>
  <c r="O72" i="11" s="1"/>
  <c r="U61" i="11"/>
  <c r="U159" i="11"/>
  <c r="U162" i="11" s="1"/>
  <c r="U89" i="11"/>
  <c r="S188" i="11"/>
  <c r="S182" i="11"/>
  <c r="S163" i="11"/>
  <c r="S61" i="11"/>
  <c r="O163" i="11"/>
  <c r="S126" i="11"/>
  <c r="O113" i="11"/>
  <c r="O42" i="11"/>
  <c r="O48" i="11" s="1"/>
  <c r="O44" i="11"/>
  <c r="O33" i="11"/>
  <c r="S113" i="11"/>
  <c r="O159" i="11"/>
  <c r="O162" i="11" s="1"/>
  <c r="O126" i="11"/>
  <c r="O161" i="11"/>
  <c r="O145" i="11"/>
  <c r="P146" i="11" s="1"/>
  <c r="P149" i="11" s="1"/>
  <c r="O89" i="11"/>
  <c r="O90" i="11"/>
  <c r="S159" i="11"/>
  <c r="S162" i="11" s="1"/>
  <c r="S145" i="11"/>
  <c r="S161" i="11"/>
  <c r="S48" i="11"/>
  <c r="S89" i="11"/>
  <c r="R165" i="11"/>
  <c r="Q167" i="11"/>
  <c r="R167" i="11"/>
  <c r="Q165" i="11"/>
  <c r="Q157" i="11"/>
  <c r="Q158" i="11"/>
  <c r="Q160" i="11"/>
  <c r="Q156" i="11"/>
  <c r="R157" i="11"/>
  <c r="R158" i="11"/>
  <c r="R160" i="11"/>
  <c r="R156" i="11"/>
  <c r="Q170" i="11"/>
  <c r="R170" i="11"/>
  <c r="D263" i="11"/>
  <c r="F263" i="11"/>
  <c r="B248" i="11"/>
  <c r="C248" i="11"/>
  <c r="D248" i="11"/>
  <c r="F248" i="11"/>
  <c r="N112" i="11"/>
  <c r="R112" i="11"/>
  <c r="C112" i="11"/>
  <c r="D112" i="11"/>
  <c r="F112" i="11"/>
  <c r="Q111" i="11"/>
  <c r="Q110" i="11"/>
  <c r="B110" i="11"/>
  <c r="Q109" i="11"/>
  <c r="Q108" i="11"/>
  <c r="Q107" i="11"/>
  <c r="Q106" i="11"/>
  <c r="Q105" i="11"/>
  <c r="Q104" i="11"/>
  <c r="B104" i="11"/>
  <c r="N101" i="11"/>
  <c r="R101" i="11"/>
  <c r="C101" i="11"/>
  <c r="C152" i="11" s="1"/>
  <c r="D101" i="11"/>
  <c r="D152" i="11" s="1"/>
  <c r="E153" i="11" s="1"/>
  <c r="N153" i="11"/>
  <c r="N168" i="11" s="1"/>
  <c r="F101" i="11"/>
  <c r="F152" i="11" s="1"/>
  <c r="Q100" i="11"/>
  <c r="Q98" i="11"/>
  <c r="Q97" i="11"/>
  <c r="Q96" i="11"/>
  <c r="Q95" i="11"/>
  <c r="Q94" i="11"/>
  <c r="B94" i="11"/>
  <c r="Q243" i="11"/>
  <c r="Q242" i="11"/>
  <c r="N240" i="11"/>
  <c r="R240" i="11"/>
  <c r="B240" i="11"/>
  <c r="C240" i="11"/>
  <c r="D240" i="11"/>
  <c r="F240" i="11"/>
  <c r="Q239" i="11"/>
  <c r="Q238" i="11"/>
  <c r="Q237" i="11"/>
  <c r="Q218" i="11"/>
  <c r="Q219" i="11"/>
  <c r="Q220" i="11"/>
  <c r="Q216" i="11"/>
  <c r="Q215" i="11"/>
  <c r="Q213" i="11"/>
  <c r="Q217" i="11"/>
  <c r="Q214" i="11"/>
  <c r="Q211" i="11"/>
  <c r="Q212" i="11"/>
  <c r="Q210" i="11"/>
  <c r="N187" i="11"/>
  <c r="N188" i="11" s="1"/>
  <c r="R187" i="11"/>
  <c r="B187" i="11"/>
  <c r="B188" i="11" s="1"/>
  <c r="C187" i="11"/>
  <c r="C188" i="11" s="1"/>
  <c r="D187" i="11"/>
  <c r="D188" i="11" s="1"/>
  <c r="F187" i="11"/>
  <c r="F188" i="11" s="1"/>
  <c r="Q186" i="11"/>
  <c r="Q185" i="11"/>
  <c r="N181" i="11"/>
  <c r="N182" i="11" s="1"/>
  <c r="R181" i="11"/>
  <c r="B181" i="11"/>
  <c r="B182" i="11" s="1"/>
  <c r="C181" i="11"/>
  <c r="C182" i="11" s="1"/>
  <c r="D181" i="11"/>
  <c r="D182" i="11" s="1"/>
  <c r="F181" i="11"/>
  <c r="F182" i="11" s="1"/>
  <c r="Q180" i="11"/>
  <c r="Q179" i="11"/>
  <c r="Q178" i="11"/>
  <c r="Q177" i="11"/>
  <c r="B176" i="11"/>
  <c r="C176" i="11"/>
  <c r="D176" i="11"/>
  <c r="F176" i="11"/>
  <c r="Q202" i="11"/>
  <c r="Q207" i="11" s="1"/>
  <c r="Q199" i="11"/>
  <c r="Q198" i="11"/>
  <c r="Q197" i="11"/>
  <c r="Q194" i="11"/>
  <c r="Q193" i="11"/>
  <c r="Q192" i="11"/>
  <c r="Q191" i="11"/>
  <c r="R190" i="11"/>
  <c r="B190" i="11"/>
  <c r="C190" i="11"/>
  <c r="D190" i="11"/>
  <c r="F190" i="11"/>
  <c r="Q190" i="11" s="1"/>
  <c r="B170" i="11"/>
  <c r="B167" i="11"/>
  <c r="B165" i="11"/>
  <c r="B160" i="11"/>
  <c r="B157" i="11"/>
  <c r="B156" i="11"/>
  <c r="B154" i="11"/>
  <c r="C154" i="11"/>
  <c r="D154" i="11"/>
  <c r="E155" i="11" s="1"/>
  <c r="N155" i="11"/>
  <c r="F154" i="11"/>
  <c r="N51" i="11"/>
  <c r="N52" i="11" s="1"/>
  <c r="R51" i="11"/>
  <c r="R52" i="11" s="1"/>
  <c r="B51" i="11"/>
  <c r="B52" i="11" s="1"/>
  <c r="C51" i="11"/>
  <c r="C52" i="11" s="1"/>
  <c r="D51" i="11"/>
  <c r="D52" i="11" s="1"/>
  <c r="F51" i="11"/>
  <c r="F52" i="11" s="1"/>
  <c r="Q50" i="11"/>
  <c r="N47" i="11"/>
  <c r="Q47" i="11"/>
  <c r="R47" i="11"/>
  <c r="B47" i="11"/>
  <c r="C47" i="11"/>
  <c r="D47" i="11"/>
  <c r="F47" i="11"/>
  <c r="N45" i="11"/>
  <c r="R45" i="11"/>
  <c r="B45" i="11"/>
  <c r="C45" i="11"/>
  <c r="D45" i="11"/>
  <c r="F45" i="11"/>
  <c r="N44" i="11"/>
  <c r="R44" i="11"/>
  <c r="B44" i="11"/>
  <c r="C44" i="11"/>
  <c r="D44" i="11"/>
  <c r="F44" i="11"/>
  <c r="N42" i="11"/>
  <c r="R42" i="11"/>
  <c r="B42" i="11"/>
  <c r="C42" i="11"/>
  <c r="D42" i="11"/>
  <c r="F42" i="11"/>
  <c r="Q41" i="11"/>
  <c r="N40" i="11"/>
  <c r="Q40" i="11"/>
  <c r="R40" i="11"/>
  <c r="B40" i="11"/>
  <c r="C40" i="11"/>
  <c r="D40" i="11"/>
  <c r="F40" i="11"/>
  <c r="N33" i="11"/>
  <c r="R33" i="11"/>
  <c r="B33" i="11"/>
  <c r="C33" i="11"/>
  <c r="D33" i="11"/>
  <c r="F33" i="11"/>
  <c r="Q32" i="11"/>
  <c r="N29" i="11"/>
  <c r="Q29" i="11"/>
  <c r="R29" i="11"/>
  <c r="B29" i="11"/>
  <c r="C29" i="11"/>
  <c r="D29" i="11"/>
  <c r="F29" i="11"/>
  <c r="B158" i="11"/>
  <c r="C58" i="11"/>
  <c r="D58" i="11"/>
  <c r="N73" i="11"/>
  <c r="N75" i="11" s="1"/>
  <c r="Q73" i="11"/>
  <c r="R73" i="11"/>
  <c r="N62" i="11"/>
  <c r="Q62" i="11"/>
  <c r="R62" i="11"/>
  <c r="B62" i="11"/>
  <c r="C62" i="11"/>
  <c r="D62" i="11"/>
  <c r="F62" i="11"/>
  <c r="N60" i="11"/>
  <c r="Q60" i="11"/>
  <c r="R60" i="11"/>
  <c r="B60" i="11"/>
  <c r="C60" i="11"/>
  <c r="D60" i="11"/>
  <c r="F60" i="11"/>
  <c r="N58" i="11"/>
  <c r="N61" i="11" s="1"/>
  <c r="Q58" i="11"/>
  <c r="Q61" i="11" s="1"/>
  <c r="R58" i="11"/>
  <c r="B53" i="11"/>
  <c r="C53" i="11"/>
  <c r="D53" i="11"/>
  <c r="F53" i="11"/>
  <c r="B149" i="11"/>
  <c r="R148" i="11"/>
  <c r="N143" i="11"/>
  <c r="Q143" i="11"/>
  <c r="R143" i="11"/>
  <c r="Q140" i="11"/>
  <c r="Q139" i="11"/>
  <c r="N138" i="11"/>
  <c r="N148" i="11" s="1"/>
  <c r="B138" i="11"/>
  <c r="B148" i="11" s="1"/>
  <c r="C138" i="11"/>
  <c r="C148" i="11" s="1"/>
  <c r="D138" i="11"/>
  <c r="D148" i="11" s="1"/>
  <c r="F138" i="11"/>
  <c r="F148" i="11" s="1"/>
  <c r="Q122" i="11"/>
  <c r="Q121" i="11"/>
  <c r="Q120" i="11"/>
  <c r="Q119" i="11"/>
  <c r="Q118" i="11"/>
  <c r="N117" i="11"/>
  <c r="N145" i="11" s="1"/>
  <c r="R117" i="11"/>
  <c r="B117" i="11"/>
  <c r="C117" i="11"/>
  <c r="D117" i="11"/>
  <c r="D145" i="11" s="1"/>
  <c r="E146" i="11" s="1"/>
  <c r="F117" i="11"/>
  <c r="N21" i="11"/>
  <c r="Q21" i="11"/>
  <c r="R21" i="11"/>
  <c r="B20" i="11"/>
  <c r="C20" i="11"/>
  <c r="D20" i="11"/>
  <c r="F20" i="11"/>
  <c r="Q16" i="11"/>
  <c r="Q10" i="11"/>
  <c r="N7" i="11"/>
  <c r="R7" i="11"/>
  <c r="B7" i="11"/>
  <c r="C7" i="11"/>
  <c r="D7" i="11"/>
  <c r="F7" i="11"/>
  <c r="Q4" i="11"/>
  <c r="Q124" i="11" s="1"/>
  <c r="F21" i="11" l="1"/>
  <c r="F25" i="11"/>
  <c r="D21" i="11"/>
  <c r="D25" i="11"/>
  <c r="D26" i="11" s="1"/>
  <c r="C21" i="11"/>
  <c r="C25" i="11"/>
  <c r="C26" i="11" s="1"/>
  <c r="F26" i="11"/>
  <c r="B21" i="11"/>
  <c r="B25" i="11"/>
  <c r="B26" i="11" s="1"/>
  <c r="Q123" i="11"/>
  <c r="S135" i="11"/>
  <c r="S134" i="11"/>
  <c r="O131" i="11"/>
  <c r="O134" i="11"/>
  <c r="O135" i="11"/>
  <c r="Q221" i="11"/>
  <c r="Q224" i="11" s="1"/>
  <c r="T146" i="11"/>
  <c r="R61" i="11"/>
  <c r="R182" i="11"/>
  <c r="R188" i="11"/>
  <c r="U90" i="11"/>
  <c r="R163" i="11"/>
  <c r="E149" i="11"/>
  <c r="O164" i="11"/>
  <c r="O166" i="11" s="1"/>
  <c r="Q45" i="11"/>
  <c r="Q7" i="11"/>
  <c r="Q75" i="11"/>
  <c r="Q42" i="11"/>
  <c r="Q163" i="11"/>
  <c r="U67" i="11"/>
  <c r="D153" i="11"/>
  <c r="B75" i="11"/>
  <c r="C155" i="11"/>
  <c r="G155" i="11"/>
  <c r="G173" i="11" s="1"/>
  <c r="F155" i="11"/>
  <c r="E156" i="11"/>
  <c r="E165" i="11"/>
  <c r="E167" i="11"/>
  <c r="E168" i="11"/>
  <c r="E157" i="11"/>
  <c r="E158" i="11"/>
  <c r="E163" i="11"/>
  <c r="E170" i="11"/>
  <c r="E160" i="11"/>
  <c r="E159" i="11"/>
  <c r="E164" i="11"/>
  <c r="G153" i="11"/>
  <c r="G172" i="11" s="1"/>
  <c r="F153" i="11"/>
  <c r="C75" i="11"/>
  <c r="D155" i="11"/>
  <c r="N67" i="11"/>
  <c r="Q67" i="11"/>
  <c r="S67" i="11"/>
  <c r="O146" i="11"/>
  <c r="O149" i="11" s="1"/>
  <c r="R75" i="11"/>
  <c r="S133" i="11"/>
  <c r="F145" i="11"/>
  <c r="N165" i="11"/>
  <c r="N170" i="11"/>
  <c r="N156" i="11"/>
  <c r="N167" i="11"/>
  <c r="N160" i="11"/>
  <c r="O147" i="11"/>
  <c r="N158" i="11"/>
  <c r="N157" i="11"/>
  <c r="S90" i="11"/>
  <c r="N163" i="11"/>
  <c r="S131" i="11"/>
  <c r="S132" i="11"/>
  <c r="S129" i="11"/>
  <c r="S130" i="11"/>
  <c r="O130" i="11"/>
  <c r="F48" i="11"/>
  <c r="O133" i="11"/>
  <c r="O132" i="11"/>
  <c r="O129" i="11"/>
  <c r="S147" i="11"/>
  <c r="C126" i="11"/>
  <c r="C48" i="11"/>
  <c r="B126" i="11"/>
  <c r="D48" i="11"/>
  <c r="B112" i="11"/>
  <c r="R48" i="11"/>
  <c r="B48" i="11"/>
  <c r="Q240" i="11"/>
  <c r="F113" i="11"/>
  <c r="N48" i="11"/>
  <c r="R113" i="11"/>
  <c r="R159" i="11"/>
  <c r="R162" i="11" s="1"/>
  <c r="D126" i="11"/>
  <c r="Q138" i="11"/>
  <c r="Q148" i="11" s="1"/>
  <c r="N146" i="11"/>
  <c r="F75" i="11"/>
  <c r="D147" i="11"/>
  <c r="N113" i="11"/>
  <c r="D113" i="11"/>
  <c r="C113" i="11"/>
  <c r="Q117" i="11"/>
  <c r="B58" i="11"/>
  <c r="B61" i="11" s="1"/>
  <c r="B67" i="11" s="1"/>
  <c r="B101" i="11"/>
  <c r="B152" i="11" s="1"/>
  <c r="N159" i="11"/>
  <c r="R126" i="11"/>
  <c r="Q112" i="11"/>
  <c r="B161" i="11"/>
  <c r="Q101" i="11"/>
  <c r="Q159" i="11"/>
  <c r="Q162" i="11" s="1"/>
  <c r="R161" i="11"/>
  <c r="Q161" i="11"/>
  <c r="Q90" i="11"/>
  <c r="N90" i="11"/>
  <c r="C61" i="11"/>
  <c r="C67" i="11" s="1"/>
  <c r="N147" i="11"/>
  <c r="F58" i="11"/>
  <c r="N126" i="11"/>
  <c r="F126" i="11"/>
  <c r="D61" i="11"/>
  <c r="D67" i="11" s="1"/>
  <c r="D89" i="11"/>
  <c r="B163" i="11"/>
  <c r="Q181" i="11"/>
  <c r="C145" i="11"/>
  <c r="D146" i="11" s="1"/>
  <c r="C89" i="11"/>
  <c r="B145" i="11"/>
  <c r="Q187" i="11"/>
  <c r="R145" i="11"/>
  <c r="D75" i="11"/>
  <c r="R89" i="11"/>
  <c r="Q51" i="11"/>
  <c r="Q52" i="11" s="1"/>
  <c r="Q89" i="11"/>
  <c r="N89" i="11"/>
  <c r="Q33" i="11"/>
  <c r="Q44" i="11"/>
  <c r="R135" i="11" l="1"/>
  <c r="R134" i="11"/>
  <c r="C131" i="11"/>
  <c r="C135" i="11"/>
  <c r="N135" i="11"/>
  <c r="N134" i="11"/>
  <c r="D135" i="11"/>
  <c r="D134" i="11"/>
  <c r="C134" i="11"/>
  <c r="B134" i="11"/>
  <c r="B135" i="11"/>
  <c r="F134" i="11"/>
  <c r="F135" i="11"/>
  <c r="Q223" i="11"/>
  <c r="T149" i="11"/>
  <c r="Q226" i="11"/>
  <c r="Q229" i="11"/>
  <c r="Q228" i="11"/>
  <c r="Q227" i="11"/>
  <c r="Q232" i="11"/>
  <c r="Q233" i="11"/>
  <c r="Q225" i="11"/>
  <c r="Q231" i="11"/>
  <c r="Q230" i="11"/>
  <c r="S164" i="11"/>
  <c r="S166" i="11" s="1"/>
  <c r="S169" i="11" s="1"/>
  <c r="S171" i="11" s="1"/>
  <c r="R90" i="11"/>
  <c r="R67" i="11"/>
  <c r="R164" i="11" s="1"/>
  <c r="R166" i="11" s="1"/>
  <c r="R169" i="11" s="1"/>
  <c r="R171" i="11" s="1"/>
  <c r="R130" i="11"/>
  <c r="S146" i="11"/>
  <c r="Q48" i="11"/>
  <c r="Q182" i="11"/>
  <c r="E166" i="11"/>
  <c r="E169" i="11" s="1"/>
  <c r="E171" i="11" s="1"/>
  <c r="Q188" i="11"/>
  <c r="U164" i="11"/>
  <c r="U166" i="11" s="1"/>
  <c r="U169" i="11" s="1"/>
  <c r="U171" i="11" s="1"/>
  <c r="U69" i="11"/>
  <c r="E162" i="11"/>
  <c r="E161" i="11"/>
  <c r="C153" i="11"/>
  <c r="C168" i="11" s="1"/>
  <c r="F147" i="11"/>
  <c r="G146" i="11"/>
  <c r="G157" i="11"/>
  <c r="G168" i="11"/>
  <c r="G156" i="11"/>
  <c r="G170" i="11"/>
  <c r="G160" i="11"/>
  <c r="G163" i="11"/>
  <c r="G167" i="11"/>
  <c r="G159" i="11"/>
  <c r="G165" i="11"/>
  <c r="G158" i="11"/>
  <c r="G164" i="11"/>
  <c r="C69" i="11"/>
  <c r="C72" i="11" s="1"/>
  <c r="B69" i="11"/>
  <c r="B72" i="11" s="1"/>
  <c r="B164" i="11"/>
  <c r="B166" i="11" s="1"/>
  <c r="D69" i="11"/>
  <c r="D72" i="11" s="1"/>
  <c r="D164" i="11"/>
  <c r="Q69" i="11"/>
  <c r="Q72" i="11" s="1"/>
  <c r="Q76" i="11" s="1"/>
  <c r="Q164" i="11"/>
  <c r="Q166" i="11" s="1"/>
  <c r="Q169" i="11" s="1"/>
  <c r="Q171" i="11" s="1"/>
  <c r="N69" i="11"/>
  <c r="N72" i="11" s="1"/>
  <c r="N164" i="11"/>
  <c r="N166" i="11" s="1"/>
  <c r="S69" i="11"/>
  <c r="U149" i="11"/>
  <c r="D130" i="11"/>
  <c r="D129" i="11"/>
  <c r="D131" i="11"/>
  <c r="D133" i="11"/>
  <c r="D132" i="11"/>
  <c r="C130" i="11"/>
  <c r="C132" i="11"/>
  <c r="C129" i="11"/>
  <c r="C133" i="11"/>
  <c r="B147" i="11"/>
  <c r="C146" i="11"/>
  <c r="C149" i="11" s="1"/>
  <c r="F146" i="11"/>
  <c r="F129" i="11"/>
  <c r="F131" i="11"/>
  <c r="F133" i="11"/>
  <c r="F130" i="11"/>
  <c r="F132" i="11"/>
  <c r="B132" i="11"/>
  <c r="B131" i="11"/>
  <c r="B130" i="11"/>
  <c r="B133" i="11"/>
  <c r="B129" i="11"/>
  <c r="N161" i="11"/>
  <c r="N162" i="11"/>
  <c r="N149" i="11"/>
  <c r="O169" i="11"/>
  <c r="O171" i="11" s="1"/>
  <c r="D163" i="11"/>
  <c r="D168" i="11"/>
  <c r="F165" i="11"/>
  <c r="F168" i="11"/>
  <c r="B90" i="11"/>
  <c r="F157" i="11"/>
  <c r="F167" i="11"/>
  <c r="B113" i="11"/>
  <c r="B159" i="11"/>
  <c r="B162" i="11" s="1"/>
  <c r="B89" i="11"/>
  <c r="F170" i="11"/>
  <c r="F163" i="11"/>
  <c r="F156" i="11"/>
  <c r="F160" i="11"/>
  <c r="D170" i="11"/>
  <c r="F158" i="11"/>
  <c r="Q126" i="11"/>
  <c r="D159" i="11"/>
  <c r="D90" i="11"/>
  <c r="C90" i="11"/>
  <c r="D160" i="11"/>
  <c r="D165" i="11"/>
  <c r="R131" i="11"/>
  <c r="D167" i="11"/>
  <c r="R132" i="11"/>
  <c r="Q145" i="11"/>
  <c r="R133" i="11"/>
  <c r="D158" i="11"/>
  <c r="R129" i="11"/>
  <c r="D156" i="11"/>
  <c r="Q113" i="11"/>
  <c r="D157" i="11"/>
  <c r="R147" i="11"/>
  <c r="F61" i="11"/>
  <c r="F159" i="11"/>
  <c r="C147" i="11"/>
  <c r="D149" i="11"/>
  <c r="N133" i="11"/>
  <c r="N132" i="11"/>
  <c r="N131" i="11"/>
  <c r="N129" i="11"/>
  <c r="N130" i="11"/>
  <c r="F89" i="11"/>
  <c r="Q135" i="11" l="1"/>
  <c r="Q134" i="11"/>
  <c r="Q234" i="11"/>
  <c r="S149" i="11"/>
  <c r="S72" i="11"/>
  <c r="C157" i="11"/>
  <c r="R69" i="11"/>
  <c r="R72" i="11" s="1"/>
  <c r="C164" i="11"/>
  <c r="U72" i="11"/>
  <c r="C165" i="11"/>
  <c r="C159" i="11"/>
  <c r="C156" i="11"/>
  <c r="C170" i="11"/>
  <c r="C160" i="11"/>
  <c r="C167" i="11"/>
  <c r="C158" i="11"/>
  <c r="C163" i="11"/>
  <c r="G162" i="11"/>
  <c r="G149" i="11"/>
  <c r="G166" i="11"/>
  <c r="G169" i="11" s="1"/>
  <c r="G171" i="11" s="1"/>
  <c r="G161" i="11"/>
  <c r="D166" i="11"/>
  <c r="F67" i="11"/>
  <c r="Q147" i="11"/>
  <c r="R146" i="11"/>
  <c r="Q146" i="11"/>
  <c r="F149" i="11"/>
  <c r="B169" i="11"/>
  <c r="B171" i="11" s="1"/>
  <c r="N169" i="11"/>
  <c r="N171" i="11" s="1"/>
  <c r="Q130" i="11"/>
  <c r="F161" i="11"/>
  <c r="Q133" i="11"/>
  <c r="Q132" i="11"/>
  <c r="Q131" i="11"/>
  <c r="Q129" i="11"/>
  <c r="D161" i="11"/>
  <c r="F162" i="11"/>
  <c r="D162" i="11"/>
  <c r="F90" i="11"/>
  <c r="U76" i="11" l="1"/>
  <c r="S76" i="11"/>
  <c r="C166" i="11"/>
  <c r="C169" i="11" s="1"/>
  <c r="C171" i="11" s="1"/>
  <c r="R76" i="11"/>
  <c r="C161" i="11"/>
  <c r="C162" i="11"/>
  <c r="Q149" i="11"/>
  <c r="F164" i="11"/>
  <c r="F166" i="11" s="1"/>
  <c r="F169" i="11" s="1"/>
  <c r="F171" i="11" s="1"/>
  <c r="F69" i="11"/>
  <c r="F72" i="11" s="1"/>
  <c r="R149" i="11"/>
  <c r="D169" i="11"/>
  <c r="D171" i="11" s="1"/>
  <c r="U173" i="11" l="1"/>
  <c r="U172" i="11"/>
  <c r="S173" i="11"/>
  <c r="S172" i="11"/>
  <c r="G51" i="11"/>
  <c r="U51" i="11" l="1"/>
  <c r="F76" i="11" l="1"/>
  <c r="F173" i="11" l="1"/>
  <c r="F172" i="11"/>
  <c r="W7" i="11" l="1"/>
  <c r="W126" i="11" l="1"/>
  <c r="W134" i="11" l="1"/>
  <c r="W135" i="11"/>
  <c r="W132" i="11"/>
  <c r="W131" i="11"/>
  <c r="W133" i="11"/>
  <c r="W129" i="11"/>
  <c r="W130" i="11"/>
  <c r="H56" i="11" l="1"/>
  <c r="J56" i="11" s="1"/>
  <c r="H66" i="11"/>
  <c r="J66" i="11" s="1"/>
  <c r="H80" i="11" l="1"/>
  <c r="H65" i="11" l="1"/>
  <c r="J65" i="11" s="1"/>
  <c r="H82" i="11"/>
  <c r="H84" i="11"/>
  <c r="Y62" i="11" l="1"/>
  <c r="AD62" i="11" s="1"/>
  <c r="H63" i="11"/>
  <c r="J63" i="11" s="1"/>
  <c r="H85" i="11"/>
  <c r="H64" i="11"/>
  <c r="J64" i="11" s="1"/>
  <c r="H59" i="11"/>
  <c r="J59" i="11" s="1"/>
  <c r="H110" i="11"/>
  <c r="H83" i="11"/>
  <c r="H62" i="11" l="1"/>
  <c r="J62" i="11" s="1"/>
  <c r="H68" i="11"/>
  <c r="J68" i="11" s="1"/>
  <c r="H55" i="11"/>
  <c r="J55" i="11" s="1"/>
  <c r="Y60" i="11"/>
  <c r="AD60" i="11" s="1"/>
  <c r="H108" i="11"/>
  <c r="H100" i="11"/>
  <c r="H105" i="11" l="1"/>
  <c r="H106" i="11"/>
  <c r="H96" i="11"/>
  <c r="H60" i="11"/>
  <c r="J60" i="11" s="1"/>
  <c r="H104" i="11"/>
  <c r="H81" i="11" l="1"/>
  <c r="H86" i="11" s="1"/>
  <c r="Y86" i="11"/>
  <c r="AD86" i="11" s="1"/>
  <c r="H94" i="11"/>
  <c r="H107" i="11"/>
  <c r="H97" i="11"/>
  <c r="H57" i="11"/>
  <c r="J57" i="11" s="1"/>
  <c r="Y58" i="11"/>
  <c r="AD58" i="11" s="1"/>
  <c r="Y61" i="11" l="1"/>
  <c r="AD61" i="11" s="1"/>
  <c r="Y89" i="11"/>
  <c r="H58" i="11"/>
  <c r="J58" i="11" s="1"/>
  <c r="H95" i="11"/>
  <c r="H61" i="11" l="1"/>
  <c r="J61" i="11" s="1"/>
  <c r="H89" i="11"/>
  <c r="H98" i="11"/>
  <c r="H101" i="11" s="1"/>
  <c r="H152" i="11" s="1"/>
  <c r="Y101" i="11"/>
  <c r="AD101" i="11" s="1"/>
  <c r="Y90" i="11"/>
  <c r="Y67" i="11"/>
  <c r="AD67" i="11" s="1"/>
  <c r="H153" i="11" l="1"/>
  <c r="H159" i="11" s="1"/>
  <c r="I153" i="11"/>
  <c r="Y69" i="11"/>
  <c r="AD69" i="11" s="1"/>
  <c r="H67" i="11"/>
  <c r="J67" i="11" s="1"/>
  <c r="H90" i="11"/>
  <c r="H157" i="11" l="1"/>
  <c r="H158" i="11"/>
  <c r="H163" i="11"/>
  <c r="H168" i="11"/>
  <c r="H165" i="11"/>
  <c r="H156" i="11"/>
  <c r="H160" i="11"/>
  <c r="H162" i="11" s="1"/>
  <c r="I168" i="11"/>
  <c r="I158" i="11"/>
  <c r="I160" i="11"/>
  <c r="I167" i="11"/>
  <c r="I165" i="11"/>
  <c r="I156" i="11"/>
  <c r="I157" i="11"/>
  <c r="I163" i="11"/>
  <c r="I159" i="11"/>
  <c r="I164" i="11"/>
  <c r="I172" i="11"/>
  <c r="H69" i="11"/>
  <c r="J69" i="11" s="1"/>
  <c r="H164" i="11"/>
  <c r="H161" i="11" l="1"/>
  <c r="H166" i="11"/>
  <c r="I161" i="11"/>
  <c r="I162" i="11"/>
  <c r="I166" i="11"/>
  <c r="I169" i="11" s="1"/>
  <c r="H70" i="11"/>
  <c r="J70" i="11" s="1"/>
  <c r="Y72" i="11"/>
  <c r="AD72" i="11" s="1"/>
  <c r="Y76" i="11" l="1"/>
  <c r="AD76" i="11" s="1"/>
  <c r="H167" i="11"/>
  <c r="H169" i="11" s="1"/>
  <c r="H72" i="11"/>
  <c r="J72" i="11" s="1"/>
  <c r="H76" i="11" l="1"/>
  <c r="J76" i="11" s="1"/>
  <c r="H172" i="11" l="1"/>
  <c r="H111" i="11" l="1"/>
  <c r="Y154" i="11"/>
  <c r="AD154" i="11" s="1"/>
  <c r="Y112" i="11"/>
  <c r="AD112" i="11" s="1"/>
  <c r="Z155" i="11" l="1"/>
  <c r="Y152" i="11"/>
  <c r="AD152" i="11" s="1"/>
  <c r="Y113" i="11"/>
  <c r="Y75" i="11"/>
  <c r="AD75" i="11" s="1"/>
  <c r="Y147" i="11"/>
  <c r="Y155" i="11"/>
  <c r="AD155" i="11" s="1"/>
  <c r="H154" i="11"/>
  <c r="I155" i="11" s="1"/>
  <c r="H112" i="11"/>
  <c r="H113" i="11" s="1"/>
  <c r="I173" i="11" l="1"/>
  <c r="I149" i="11"/>
  <c r="I170" i="11"/>
  <c r="I171" i="11" s="1"/>
  <c r="Z173" i="11"/>
  <c r="Z149" i="11"/>
  <c r="Z153" i="11"/>
  <c r="Y173" i="11"/>
  <c r="Y149" i="11"/>
  <c r="H75" i="11"/>
  <c r="J75" i="11" s="1"/>
  <c r="H147" i="11"/>
  <c r="H155" i="11"/>
  <c r="H173" i="11" s="1"/>
  <c r="Y153" i="11"/>
  <c r="AD153" i="11" s="1"/>
  <c r="Z170" i="11" l="1"/>
  <c r="Z165" i="11"/>
  <c r="Z163" i="11"/>
  <c r="Z156" i="11"/>
  <c r="Z172" i="11"/>
  <c r="Z164" i="11"/>
  <c r="Z157" i="11"/>
  <c r="Z159" i="11"/>
  <c r="Z160" i="11"/>
  <c r="Z158" i="11"/>
  <c r="Z167" i="11"/>
  <c r="Z168" i="11"/>
  <c r="Y170" i="11"/>
  <c r="Y168" i="11"/>
  <c r="Y157" i="11"/>
  <c r="Y160" i="11"/>
  <c r="Y156" i="11"/>
  <c r="Y165" i="11"/>
  <c r="Y163" i="11"/>
  <c r="Y158" i="11"/>
  <c r="Y159" i="11"/>
  <c r="Y164" i="11"/>
  <c r="Y167" i="11"/>
  <c r="Y172" i="11"/>
  <c r="H149" i="11"/>
  <c r="H170" i="11"/>
  <c r="H171" i="11" s="1"/>
  <c r="Z161" i="11" l="1"/>
  <c r="Z162" i="11"/>
  <c r="Z166" i="11"/>
  <c r="Z169" i="11" s="1"/>
  <c r="Z171" i="11" s="1"/>
  <c r="Y161" i="11"/>
  <c r="Y166" i="11"/>
  <c r="Y169" i="11" s="1"/>
  <c r="Y171" i="11" s="1"/>
  <c r="Y16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Manish Kayal</author>
  </authors>
  <commentList>
    <comment ref="X10" authorId="0" shapeId="0" xr:uid="{A3409D37-CFF7-4536-B3F0-43308BF157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Y10" authorId="0" shapeId="0" xr:uid="{120713A1-E054-4AFB-ACBC-6ABBA46335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Z10" authorId="0" shapeId="0" xr:uid="{6C92AB36-2D46-4B2F-AD8D-BCB39215EF3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A10" authorId="0" shapeId="0" xr:uid="{29C032FD-8F36-47BE-9A6D-7176AE653DB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B10" authorId="0" shapeId="0" xr:uid="{A9F58C3B-14E1-47D2-9FD7-E9C896859FC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C10" authorId="0" shapeId="0" xr:uid="{64BA425E-EBE2-4E54-8E23-31023FA3652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T38" authorId="0" shapeId="0" xr:uid="{A6C5602F-46A5-4D7C-BA7D-90784A5BBC4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38" authorId="0" shapeId="0" xr:uid="{D87B1D5F-4976-477B-81F4-179B0EDBB3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V38" authorId="0" shapeId="0" xr:uid="{19DB2BC4-274B-4917-BC1D-5809321E40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W38" authorId="0" shapeId="0" xr:uid="{863A3FAD-0ABA-4228-8574-3B61C6E5D0D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X38" authorId="0" shapeId="0" xr:uid="{9CD46B8F-136C-4495-8056-CF8339A1E2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Y38" authorId="0" shapeId="0" xr:uid="{FEBCC9DA-D387-496C-8362-6F207D07D67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Z38" authorId="0" shapeId="0" xr:uid="{85A6CD84-A6AD-4789-838C-66A4A80E4DF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A38" authorId="0" shapeId="0" xr:uid="{A42D3511-54F3-4755-8305-86E721D366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B38" authorId="0" shapeId="0" xr:uid="{486D4F26-EB2B-4C00-BC3A-585BFF3D483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C38" authorId="0" shapeId="0" xr:uid="{B0BF553E-3BD3-4A40-86DD-F96F5734A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47" authorId="0" shapeId="0" xr:uid="{FC7FEB07-E535-42DF-9A42-4E4CA4D06B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1.3% for Mar'22 and 1.7% for Dec'21</t>
        </r>
      </text>
    </comment>
    <comment ref="V47" authorId="0" shapeId="0" xr:uid="{7A1BEA28-8C37-4D8D-95C8-ACAA5131379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1.2% for Jun'22</t>
        </r>
      </text>
    </comment>
    <comment ref="W47" authorId="0" shapeId="0" xr:uid="{3500C9E2-687D-4C98-86D4-D8048E892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Sep'22</t>
        </r>
      </text>
    </comment>
    <comment ref="X47" authorId="0" shapeId="0" xr:uid="{966E7627-A030-4210-85C5-52FF1221CA1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(1.09)% for Dec'22</t>
        </r>
      </text>
    </comment>
    <comment ref="Y47" authorId="0" shapeId="0" xr:uid="{B6C2B3DD-28AE-4F84-BCC3-5892366773F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(0.91)% for Mar'23</t>
        </r>
      </text>
    </comment>
    <comment ref="Z47" authorId="0" shapeId="0" xr:uid="{D1FBCEC6-959F-4CCE-AB6A-98075732DA8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(1.03)% for Jun'23</t>
        </r>
      </text>
    </comment>
    <comment ref="AA47" authorId="0" shapeId="0" xr:uid="{DE51E0D4-A4A7-4518-9E97-2AF4D69AC8A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Sep'23</t>
        </r>
      </text>
    </comment>
    <comment ref="AB47" authorId="0" shapeId="0" xr:uid="{EC44973A-ABD4-458C-9E2C-828FB59A284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(1.13)% for Dec'23</t>
        </r>
      </text>
    </comment>
    <comment ref="AC47" authorId="0" shapeId="0" xr:uid="{9D33088E-1DCF-471B-AB17-C622FA13E45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(1.14)% for Mar'24</t>
        </r>
      </text>
    </comment>
    <comment ref="U48" authorId="0" shapeId="0" xr:uid="{800F9C51-B874-4780-98BC-C6A3EAFA637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Mar'22 and 1.3% for Dec'21</t>
        </r>
      </text>
    </comment>
    <comment ref="V48" authorId="0" shapeId="0" xr:uid="{8989CEE4-BF5C-40F4-A747-9A7C69C93219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Jun'22</t>
        </r>
      </text>
    </comment>
    <comment ref="W48" authorId="0" shapeId="0" xr:uid="{4B626E12-52A1-42F6-A49D-F814F491E3D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(0.72)%. for Sep'22</t>
        </r>
      </text>
    </comment>
    <comment ref="X48" authorId="0" shapeId="0" xr:uid="{63D57770-B4FA-424B-908A-7128469819E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(0.71)%. for Dec'22</t>
        </r>
      </text>
    </comment>
    <comment ref="Y48" authorId="0" shapeId="0" xr:uid="{7755FF2C-5588-4116-8F84-60BA10EB703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(0.50)%. for Mar'23</t>
        </r>
      </text>
    </comment>
    <comment ref="Z48" authorId="0" shapeId="0" xr:uid="{A4DEF5C4-01DC-4B1A-A4EC-ABE164EF578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(0.64)%. for Jun'23</t>
        </r>
      </text>
    </comment>
    <comment ref="AA48" authorId="0" shapeId="0" xr:uid="{F7EFB9A7-A8DC-4D18-9876-3160DB31584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(0.73)%. for Sep'23</t>
        </r>
      </text>
    </comment>
    <comment ref="AB48" authorId="0" shapeId="0" xr:uid="{CAFDEA5B-2498-4BFA-BD2B-A436140E495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(0.75)%. for Dec'23</t>
        </r>
      </text>
    </comment>
    <comment ref="AC48" authorId="0" shapeId="0" xr:uid="{3614CC9C-DB21-43AE-84E6-5CF8EC0C112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(0.77)%. for Mar'24</t>
        </r>
      </text>
    </comment>
    <comment ref="S71" authorId="0" shapeId="0" xr:uid="{E86CFD3B-5A99-4654-B5FF-C856A0C8384E}">
      <text>
        <r>
          <rPr>
            <b/>
            <sz val="9"/>
            <color indexed="81"/>
            <rFont val="Tahoma"/>
            <family val="2"/>
          </rPr>
          <t>Manish Kayal:</t>
        </r>
        <r>
          <rPr>
            <sz val="9"/>
            <color indexed="81"/>
            <rFont val="Tahoma"/>
            <family val="2"/>
          </rPr>
          <t xml:space="preserve">
Q2FY22:The Company has reversed Rs 17.7 millions of DTL created on the amount transferred to special reserve for the quarter ended Jun'21</t>
        </r>
      </text>
    </comment>
  </commentList>
</comments>
</file>

<file path=xl/sharedStrings.xml><?xml version="1.0" encoding="utf-8"?>
<sst xmlns="http://schemas.openxmlformats.org/spreadsheetml/2006/main" count="370" uniqueCount="254">
  <si>
    <t>Housing Loan</t>
  </si>
  <si>
    <t>Spread</t>
  </si>
  <si>
    <t>Employee per branch</t>
  </si>
  <si>
    <t>Credit Rating</t>
  </si>
  <si>
    <t>Long Term</t>
  </si>
  <si>
    <t>Average Ticket Size (ATS)</t>
  </si>
  <si>
    <t>Developer Finance</t>
  </si>
  <si>
    <t>DPD 30+/POS</t>
  </si>
  <si>
    <t>Pvt Banks</t>
  </si>
  <si>
    <t>Public Banks</t>
  </si>
  <si>
    <t>NBFC</t>
  </si>
  <si>
    <t>NHB Refinance</t>
  </si>
  <si>
    <t>NCD</t>
  </si>
  <si>
    <t>Loan to Value (LTV) based on origination</t>
  </si>
  <si>
    <t>Loan to Value (LTV) based on live book</t>
  </si>
  <si>
    <t xml:space="preserve">                               -   </t>
  </si>
  <si>
    <t xml:space="preserve">                      -   </t>
  </si>
  <si>
    <t xml:space="preserve">                       -   </t>
  </si>
  <si>
    <t>Stage 3/ POS</t>
  </si>
  <si>
    <t>On-Book</t>
  </si>
  <si>
    <t>ICRA</t>
  </si>
  <si>
    <t>CARE</t>
  </si>
  <si>
    <t>Short Term</t>
  </si>
  <si>
    <t>India Ratings</t>
  </si>
  <si>
    <t xml:space="preserve">A1+ </t>
  </si>
  <si>
    <t>Net Interest Income</t>
  </si>
  <si>
    <t>Total Income</t>
  </si>
  <si>
    <t>Employee Benefits</t>
  </si>
  <si>
    <t>Administrative &amp; other Expenses</t>
  </si>
  <si>
    <t>Depreciation</t>
  </si>
  <si>
    <t>BVPS</t>
  </si>
  <si>
    <t>Karnataka</t>
  </si>
  <si>
    <t>Telangana</t>
  </si>
  <si>
    <t>Rajasthan</t>
  </si>
  <si>
    <t>Total assets</t>
  </si>
  <si>
    <t>Total</t>
  </si>
  <si>
    <t>Q3FY20</t>
  </si>
  <si>
    <t>Q4FY20</t>
  </si>
  <si>
    <t>Q1FY21</t>
  </si>
  <si>
    <t>Q2FY21</t>
  </si>
  <si>
    <t>Q3FY21</t>
  </si>
  <si>
    <t>Interest Income on term loans</t>
  </si>
  <si>
    <t>Net gain on DA</t>
  </si>
  <si>
    <t>Non-Interest Income</t>
  </si>
  <si>
    <t>Operating Expenses</t>
  </si>
  <si>
    <t>Credit Cost</t>
  </si>
  <si>
    <t>Profit before tax</t>
  </si>
  <si>
    <t>Tax expense</t>
  </si>
  <si>
    <t>Profit after tax</t>
  </si>
  <si>
    <t>DPD 1+</t>
  </si>
  <si>
    <t>DPD 30+</t>
  </si>
  <si>
    <t>(%)</t>
  </si>
  <si>
    <t>Bounce Rate</t>
  </si>
  <si>
    <t>Q1FY20</t>
  </si>
  <si>
    <t>Q1FY19</t>
  </si>
  <si>
    <t>Q2FY19</t>
  </si>
  <si>
    <t>Q3FY19</t>
  </si>
  <si>
    <t>Q4FY19</t>
  </si>
  <si>
    <t>Q2FY20</t>
  </si>
  <si>
    <t>FY18</t>
  </si>
  <si>
    <t>FY19</t>
  </si>
  <si>
    <t>FY20</t>
  </si>
  <si>
    <t>FY17</t>
  </si>
  <si>
    <t>Gujarat</t>
  </si>
  <si>
    <t>Maharashtra</t>
  </si>
  <si>
    <t>Tamil Nadu</t>
  </si>
  <si>
    <t>Branch</t>
  </si>
  <si>
    <t>Builder Ecosystem</t>
  </si>
  <si>
    <t>Connector</t>
  </si>
  <si>
    <t>Construction Community</t>
  </si>
  <si>
    <t>Digital</t>
  </si>
  <si>
    <t>Micro Connector</t>
  </si>
  <si>
    <t>Strategic Alliances</t>
  </si>
  <si>
    <t>FY21</t>
  </si>
  <si>
    <t>Q4FY21</t>
  </si>
  <si>
    <t>Gross Loan Assets / AUM</t>
  </si>
  <si>
    <t>Loans – Principal Outstanding</t>
  </si>
  <si>
    <t>Disbursements</t>
  </si>
  <si>
    <t>Total Outstanding Loan Accounts (including assigned accounts)</t>
  </si>
  <si>
    <t>P&amp;L</t>
  </si>
  <si>
    <t>Particulars / Rs Mn</t>
  </si>
  <si>
    <t>Operating Expenses / Total Income</t>
  </si>
  <si>
    <t>Cost to Income Ratio (Operating Expenses / Net Total Income)</t>
  </si>
  <si>
    <t>Stage 3 loan assets (Net)</t>
  </si>
  <si>
    <t>Average cost of incremental borrowings</t>
  </si>
  <si>
    <t>Average total assets</t>
  </si>
  <si>
    <t>Equity</t>
  </si>
  <si>
    <t>Average Equity</t>
  </si>
  <si>
    <t>Credit Cost / Average total assets</t>
  </si>
  <si>
    <t>Leverage (Average total assets/average Equity or average Net-worth)</t>
  </si>
  <si>
    <t>Debt to equity ratio</t>
  </si>
  <si>
    <t>CRAR (%)</t>
  </si>
  <si>
    <t>Average D/E</t>
  </si>
  <si>
    <t>Number of total loan accounts (#)</t>
  </si>
  <si>
    <t>Salaried loan accounts</t>
  </si>
  <si>
    <t>Self-employed loan accounts</t>
  </si>
  <si>
    <t>Have Credit History</t>
  </si>
  <si>
    <t>Product Wise Gross Loan Assets by segment (Retail and corporate)</t>
  </si>
  <si>
    <t>Loans for Purchase of Commercial Property</t>
  </si>
  <si>
    <t>Loans Against Property</t>
  </si>
  <si>
    <t>Gross Loan Assets by Credit History</t>
  </si>
  <si>
    <t>New to Credit</t>
  </si>
  <si>
    <t>With Credit History</t>
  </si>
  <si>
    <t>Gross Loan Assets by States/ Territories</t>
  </si>
  <si>
    <t>Madhya Pradesh</t>
  </si>
  <si>
    <t>Chhattisgarh</t>
  </si>
  <si>
    <t>Andhra Pradesh</t>
  </si>
  <si>
    <t xml:space="preserve">                                 -   </t>
  </si>
  <si>
    <t>DPD</t>
  </si>
  <si>
    <t>Less than 50%</t>
  </si>
  <si>
    <t>50-80%</t>
  </si>
  <si>
    <t>Above 80%</t>
  </si>
  <si>
    <t>Loan to Value (LTV) - Based on Gross Loan Assets</t>
  </si>
  <si>
    <t>CRAR (Total Capital / Total Risk Weighted Assets)</t>
  </si>
  <si>
    <t>CRAR - Tier I Capital</t>
  </si>
  <si>
    <t>CRAR - Tier II Capital</t>
  </si>
  <si>
    <t>Number of Branches</t>
  </si>
  <si>
    <t>Number of Employees</t>
  </si>
  <si>
    <t>Gross Loan Assets / Employee</t>
  </si>
  <si>
    <t>Branch Level Details</t>
  </si>
  <si>
    <t>Marketing</t>
  </si>
  <si>
    <t>Sourcing Channel Split (No of Sanctions)</t>
  </si>
  <si>
    <t>Stage 3 loan assets</t>
  </si>
  <si>
    <t>Impairment loss allowance on stage 3 loans</t>
  </si>
  <si>
    <t>Debt</t>
  </si>
  <si>
    <t>Gross Loan Assets / Branch</t>
  </si>
  <si>
    <t>ROA</t>
  </si>
  <si>
    <t>ROE</t>
  </si>
  <si>
    <t>Interest on borrowings and commercial papers</t>
  </si>
  <si>
    <t>Operating Expenses / Average total assets</t>
  </si>
  <si>
    <t>ROE Tree</t>
  </si>
  <si>
    <t>Interest Income on term loans/ Average total assets</t>
  </si>
  <si>
    <t>Interest on borrowings and Interest on debt securities / Average total assets</t>
  </si>
  <si>
    <t>Net Interest Income / Average total assets</t>
  </si>
  <si>
    <t>Profit before tax / Average total assets</t>
  </si>
  <si>
    <t>Tax expense/ Average total assets</t>
  </si>
  <si>
    <t>Delinquency Detail</t>
  </si>
  <si>
    <t>Housing Loan / Total</t>
  </si>
  <si>
    <t>New to Credit % of total</t>
  </si>
  <si>
    <t>Capital Adequacy</t>
  </si>
  <si>
    <t>Loan Book Details</t>
  </si>
  <si>
    <t>Portfolio Yield (IGAAP)</t>
  </si>
  <si>
    <t>Yield</t>
  </si>
  <si>
    <t>Borrowings Details</t>
  </si>
  <si>
    <t>No. of Shares</t>
  </si>
  <si>
    <t>New to Credit loan accounts</t>
  </si>
  <si>
    <t>Cost of Borrowings (Weighted) as per IGAAP</t>
  </si>
  <si>
    <t>Total Borrowings</t>
  </si>
  <si>
    <t>Borrowings Mix</t>
  </si>
  <si>
    <t>Net gain on DA/ Average total assets</t>
  </si>
  <si>
    <t>Total Income/ Average total assets</t>
  </si>
  <si>
    <t>Others - bank and financial charges</t>
  </si>
  <si>
    <t>Loans - Principal Outstanding (net)</t>
  </si>
  <si>
    <t>Provision for Loan Commitments</t>
  </si>
  <si>
    <t>Non-Interest Income/ Average total assets</t>
  </si>
  <si>
    <t>Stage 3 (net)/net POS</t>
  </si>
  <si>
    <t>AUM by Occupation</t>
  </si>
  <si>
    <t>Salaried</t>
  </si>
  <si>
    <t>Self Employed</t>
  </si>
  <si>
    <t>Corporate</t>
  </si>
  <si>
    <t>Upto 0.5Mn</t>
  </si>
  <si>
    <t>0.5-1.0Mn</t>
  </si>
  <si>
    <t>1-1.5Mn</t>
  </si>
  <si>
    <t>Above 2.5Mn</t>
  </si>
  <si>
    <t>Balance Sheet</t>
  </si>
  <si>
    <t>Assets</t>
  </si>
  <si>
    <t>Cash &amp; cash equivalents and Other bank balance</t>
  </si>
  <si>
    <t>Loans</t>
  </si>
  <si>
    <t>Investments</t>
  </si>
  <si>
    <t>Other financial assets</t>
  </si>
  <si>
    <t>Non-financial assets other than PPE</t>
  </si>
  <si>
    <t>Liabilities</t>
  </si>
  <si>
    <t>Payables</t>
  </si>
  <si>
    <t>Debt Securities</t>
  </si>
  <si>
    <t>Borrowings</t>
  </si>
  <si>
    <t>Other financial liabilities</t>
  </si>
  <si>
    <t>Provisions</t>
  </si>
  <si>
    <t>Deferred Tax Liabilities (Net)</t>
  </si>
  <si>
    <t>Other non-financial liabilities</t>
  </si>
  <si>
    <t xml:space="preserve">     -   </t>
  </si>
  <si>
    <t>Check</t>
  </si>
  <si>
    <t>Average Debt</t>
  </si>
  <si>
    <t>Net Total Income</t>
  </si>
  <si>
    <t>Reported Basic EPS</t>
  </si>
  <si>
    <t>Stage 1 loan assets</t>
  </si>
  <si>
    <t>Stage 2 loan assets</t>
  </si>
  <si>
    <t>Q1FY22</t>
  </si>
  <si>
    <t>Uttar Pradesh &amp; Uttarakhand</t>
  </si>
  <si>
    <t>Haryana &amp; NCR</t>
  </si>
  <si>
    <t>Operational Details</t>
  </si>
  <si>
    <t>Net Total Income/ Average total assets</t>
  </si>
  <si>
    <t>Q2FY22</t>
  </si>
  <si>
    <t>1.5-2.0Mn</t>
  </si>
  <si>
    <t>2.0-2.5Mn</t>
  </si>
  <si>
    <t>Property, plant and Equipment and Right to use building</t>
  </si>
  <si>
    <t>Fees Income</t>
  </si>
  <si>
    <t>Other Operating Income</t>
  </si>
  <si>
    <t>Interest on bank deposits (Treasury Income)</t>
  </si>
  <si>
    <t>Income on MF (Treasury Income)</t>
  </si>
  <si>
    <t>Other interest income</t>
  </si>
  <si>
    <t>One-time tax adjustment</t>
  </si>
  <si>
    <t>One-time tax adjustment/Average Total Assets</t>
  </si>
  <si>
    <t>q-o-q</t>
  </si>
  <si>
    <t>y-o-y</t>
  </si>
  <si>
    <t>Q3FY22</t>
  </si>
  <si>
    <t>Yoy%</t>
  </si>
  <si>
    <t>PPOP</t>
  </si>
  <si>
    <t>Adjusted PAT</t>
  </si>
  <si>
    <t>Adjusted ROA</t>
  </si>
  <si>
    <t>Adjusted ROE</t>
  </si>
  <si>
    <t>PPOP/Average total assets</t>
  </si>
  <si>
    <t>FY22</t>
  </si>
  <si>
    <t>Q4FY22</t>
  </si>
  <si>
    <t>AA- Stable</t>
  </si>
  <si>
    <t>Disbursement / Branch (annualised)</t>
  </si>
  <si>
    <t>Disbursement / Employee (annualised)</t>
  </si>
  <si>
    <t>Processing fees on closed loans</t>
  </si>
  <si>
    <t xml:space="preserve"> Processing fees on CLSS reclassed</t>
  </si>
  <si>
    <t>Processing fees on CLSS reclassed</t>
  </si>
  <si>
    <t>Interest Income on loans</t>
  </si>
  <si>
    <t xml:space="preserve">Reclassification of gains on MF Investments </t>
  </si>
  <si>
    <t>Reclassification Items included under line items as below</t>
  </si>
  <si>
    <t>Break-Up of Other Non-Interest Income (Regrouping and reclassification is mentioned in row no 282)</t>
  </si>
  <si>
    <t>Q1FY23</t>
  </si>
  <si>
    <t>Total Provision Coverage Ratio</t>
  </si>
  <si>
    <t>Total Provision Coverage Ratio (Pre RBI Circular)</t>
  </si>
  <si>
    <t>Q2FY23</t>
  </si>
  <si>
    <t>Q3FY23</t>
  </si>
  <si>
    <t>Others</t>
  </si>
  <si>
    <t>Q4FY23</t>
  </si>
  <si>
    <t>FY23</t>
  </si>
  <si>
    <t>Direct Assignment drawn-down during the period</t>
  </si>
  <si>
    <t>Deferred tax assets (net)</t>
  </si>
  <si>
    <t>Q1FY24</t>
  </si>
  <si>
    <t>DPD 90+ (Pre-RBI Classification)</t>
  </si>
  <si>
    <t>DPD 90+/POS</t>
  </si>
  <si>
    <t>Q2FY24</t>
  </si>
  <si>
    <t>Q3FY24</t>
  </si>
  <si>
    <t>Co-Lending Assigned Assets</t>
  </si>
  <si>
    <t>Direct Assignment</t>
  </si>
  <si>
    <t>Co-lending</t>
  </si>
  <si>
    <t>Off-Book</t>
  </si>
  <si>
    <t>Co-Lending</t>
  </si>
  <si>
    <t>Direct Assigned Assets</t>
  </si>
  <si>
    <t>Direct Assigned Assets/ Gross Loan Assets</t>
  </si>
  <si>
    <t>Co-Lending  Assigned Assets/ Gross Loan Assets</t>
  </si>
  <si>
    <t>Net gain on fair value changes</t>
  </si>
  <si>
    <t>Co-Lending business during the period</t>
  </si>
  <si>
    <t>Impairment loss allowance / ECL (Total)</t>
  </si>
  <si>
    <t>Q4FY24</t>
  </si>
  <si>
    <t>AA- Positive</t>
  </si>
  <si>
    <t>FY24</t>
  </si>
  <si>
    <t>AUM by Ticket Size</t>
  </si>
  <si>
    <t>Yield (Ex Co-lending)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</si>
</sst>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00%"/>
    <numFmt numFmtId="169" formatCode="_ * #,##0.0_ ;_ * \-#,##0.0_ ;_ * &quot;-&quot;??_ ;_ @_ "/>
    <numFmt numFmtId="170" formatCode="_-* #,##0.00_-;\-* #,##0.00_-;_-* &quot;-&quot;??_-;_-@_-"/>
    <numFmt numFmtId="171" formatCode="_ * #,##0_ ;_ * \-#,##0_ ;_ * &quot;-&quot;??_ ;_ @_ "/>
    <numFmt numFmtId="172" formatCode="_(* #,##0.000_);_(* \(#,##0.000\);_(* &quot;-&quot;??_);_(@_)"/>
    <numFmt numFmtId="173" formatCode="_ * #,##0.0000_ ;_ * \-#,##0.0000_ ;_ * &quot;-&quot;??_ ;_ @_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Trebuchet MS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8"/>
      <name val="Calibri"/>
      <family val="2"/>
      <scheme val="minor"/>
    </font>
    <font>
      <sz val="11"/>
      <color theme="8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rebuchet M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59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28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27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2" fillId="0" borderId="0" xfId="1" applyNumberFormat="1" applyFont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67" fontId="3" fillId="2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4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4" applyNumberFormat="1" applyFont="1" applyAlignment="1">
      <alignment horizontal="right" vertical="center"/>
    </xf>
    <xf numFmtId="165" fontId="3" fillId="0" borderId="0" xfId="4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9" fontId="2" fillId="0" borderId="0" xfId="4" applyFont="1" applyAlignment="1">
      <alignment horizontal="right" vertical="center"/>
    </xf>
    <xf numFmtId="165" fontId="3" fillId="0" borderId="0" xfId="4" applyNumberFormat="1" applyFont="1" applyFill="1"/>
    <xf numFmtId="0" fontId="7" fillId="0" borderId="0" xfId="0" applyFont="1"/>
    <xf numFmtId="166" fontId="2" fillId="0" borderId="0" xfId="1" applyNumberFormat="1" applyFont="1" applyAlignment="1">
      <alignment horizontal="right" vertical="center"/>
    </xf>
    <xf numFmtId="0" fontId="0" fillId="0" borderId="0" xfId="0" quotePrefix="1" applyAlignment="1">
      <alignment vertical="center"/>
    </xf>
    <xf numFmtId="0" fontId="8" fillId="2" borderId="0" xfId="0" applyFont="1" applyFill="1" applyAlignment="1">
      <alignment vertical="center"/>
    </xf>
    <xf numFmtId="167" fontId="8" fillId="2" borderId="0" xfId="1" applyNumberFormat="1" applyFont="1" applyFill="1" applyAlignment="1">
      <alignment horizontal="right" vertical="center"/>
    </xf>
    <xf numFmtId="165" fontId="2" fillId="0" borderId="0" xfId="4" applyNumberFormat="1" applyFont="1" applyFill="1" applyAlignment="1">
      <alignment horizontal="right" vertical="center"/>
    </xf>
    <xf numFmtId="167" fontId="3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1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4" fontId="10" fillId="0" borderId="0" xfId="1" applyFont="1" applyAlignment="1">
      <alignment horizontal="right" vertical="center"/>
    </xf>
    <xf numFmtId="165" fontId="10" fillId="0" borderId="0" xfId="4" applyNumberFormat="1" applyFont="1" applyAlignment="1">
      <alignment horizontal="right" vertical="center"/>
    </xf>
    <xf numFmtId="165" fontId="11" fillId="0" borderId="0" xfId="4" applyNumberFormat="1" applyFont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167" fontId="9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167" fontId="10" fillId="0" borderId="0" xfId="1" applyNumberFormat="1" applyFont="1" applyFill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5" fontId="12" fillId="0" borderId="0" xfId="4" applyNumberFormat="1" applyFont="1" applyAlignment="1">
      <alignment horizontal="right" vertical="center"/>
    </xf>
    <xf numFmtId="165" fontId="10" fillId="0" borderId="0" xfId="4" applyNumberFormat="1" applyFont="1" applyFill="1" applyAlignment="1">
      <alignment horizontal="right" vertical="center"/>
    </xf>
    <xf numFmtId="164" fontId="2" fillId="0" borderId="0" xfId="1" applyFont="1" applyAlignment="1">
      <alignment horizontal="right" vertical="center"/>
    </xf>
    <xf numFmtId="166" fontId="14" fillId="0" borderId="0" xfId="1" applyNumberFormat="1" applyFont="1"/>
    <xf numFmtId="166" fontId="14" fillId="0" borderId="0" xfId="1" applyNumberFormat="1" applyFont="1" applyFill="1"/>
    <xf numFmtId="164" fontId="2" fillId="0" borderId="0" xfId="1" applyFont="1" applyFill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165" fontId="0" fillId="0" borderId="0" xfId="0" applyNumberFormat="1"/>
    <xf numFmtId="165" fontId="9" fillId="0" borderId="0" xfId="4" applyNumberFormat="1" applyFont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5" fontId="11" fillId="0" borderId="0" xfId="4" applyNumberFormat="1" applyFont="1" applyFill="1" applyAlignment="1">
      <alignment horizontal="right" vertical="center"/>
    </xf>
    <xf numFmtId="168" fontId="2" fillId="0" borderId="0" xfId="4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67" fontId="15" fillId="0" borderId="0" xfId="1" applyNumberFormat="1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65" fontId="3" fillId="0" borderId="0" xfId="4" applyNumberFormat="1" applyFont="1" applyFill="1" applyAlignment="1">
      <alignment horizontal="right" vertical="center"/>
    </xf>
    <xf numFmtId="167" fontId="12" fillId="0" borderId="0" xfId="1" applyNumberFormat="1" applyFont="1" applyFill="1" applyAlignment="1">
      <alignment horizontal="right" vertical="center"/>
    </xf>
    <xf numFmtId="167" fontId="5" fillId="0" borderId="0" xfId="0" applyNumberFormat="1" applyFont="1"/>
    <xf numFmtId="10" fontId="2" fillId="0" borderId="0" xfId="4" applyNumberFormat="1" applyFont="1" applyFill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6" fontId="3" fillId="2" borderId="0" xfId="1" applyNumberFormat="1" applyFont="1" applyFill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5" fontId="19" fillId="0" borderId="0" xfId="4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8" fillId="0" borderId="0" xfId="4" applyNumberFormat="1" applyFont="1" applyAlignment="1">
      <alignment horizontal="right" vertical="center"/>
    </xf>
    <xf numFmtId="0" fontId="20" fillId="0" borderId="0" xfId="0" applyFont="1" applyAlignment="1">
      <alignment horizontal="right"/>
    </xf>
    <xf numFmtId="167" fontId="19" fillId="0" borderId="0" xfId="1" applyNumberFormat="1" applyFont="1" applyAlignment="1">
      <alignment horizontal="right" vertical="center"/>
    </xf>
    <xf numFmtId="167" fontId="18" fillId="2" borderId="0" xfId="1" applyNumberFormat="1" applyFont="1" applyFill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0" fontId="2" fillId="0" borderId="0" xfId="4" applyNumberFormat="1" applyFont="1" applyAlignment="1">
      <alignment horizontal="right" vertical="center"/>
    </xf>
    <xf numFmtId="10" fontId="3" fillId="0" borderId="0" xfId="4" applyNumberFormat="1" applyFont="1" applyFill="1" applyAlignment="1">
      <alignment horizontal="right" vertical="center"/>
    </xf>
    <xf numFmtId="10" fontId="19" fillId="0" borderId="0" xfId="0" applyNumberFormat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2" fillId="0" borderId="0" xfId="4" applyNumberFormat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15" fillId="0" borderId="0" xfId="1" applyFont="1" applyAlignment="1">
      <alignment vertical="center" wrapText="1"/>
    </xf>
    <xf numFmtId="164" fontId="5" fillId="0" borderId="0" xfId="0" applyNumberFormat="1" applyFont="1"/>
    <xf numFmtId="164" fontId="4" fillId="0" borderId="0" xfId="4" applyNumberFormat="1" applyFont="1" applyFill="1" applyAlignment="1">
      <alignment horizontal="right" vertical="center"/>
    </xf>
    <xf numFmtId="165" fontId="4" fillId="0" borderId="0" xfId="4" applyNumberFormat="1" applyFont="1" applyFill="1" applyAlignment="1">
      <alignment horizontal="right" vertical="center"/>
    </xf>
    <xf numFmtId="10" fontId="12" fillId="0" borderId="0" xfId="4" applyNumberFormat="1" applyFont="1" applyFill="1" applyAlignment="1">
      <alignment horizontal="right" vertical="center"/>
    </xf>
    <xf numFmtId="10" fontId="12" fillId="0" borderId="0" xfId="4" applyNumberFormat="1" applyFont="1" applyAlignment="1">
      <alignment horizontal="right" vertical="center"/>
    </xf>
    <xf numFmtId="10" fontId="12" fillId="2" borderId="0" xfId="4" applyNumberFormat="1" applyFont="1" applyFill="1" applyAlignment="1">
      <alignment horizontal="right" vertical="center"/>
    </xf>
    <xf numFmtId="9" fontId="9" fillId="0" borderId="0" xfId="4" applyFont="1" applyAlignment="1">
      <alignment horizontal="right" vertical="center"/>
    </xf>
    <xf numFmtId="165" fontId="21" fillId="0" borderId="0" xfId="4" applyNumberFormat="1" applyFont="1" applyAlignment="1">
      <alignment horizontal="right" vertical="center"/>
    </xf>
    <xf numFmtId="10" fontId="4" fillId="0" borderId="0" xfId="4" applyNumberFormat="1" applyFont="1" applyAlignment="1">
      <alignment horizontal="right" vertical="center"/>
    </xf>
    <xf numFmtId="165" fontId="0" fillId="0" borderId="0" xfId="4" applyNumberFormat="1" applyFont="1" applyFill="1"/>
    <xf numFmtId="165" fontId="3" fillId="0" borderId="0" xfId="4" applyNumberFormat="1" applyFont="1" applyAlignment="1">
      <alignment vertical="center"/>
    </xf>
    <xf numFmtId="165" fontId="21" fillId="0" borderId="0" xfId="4" applyNumberFormat="1" applyFont="1" applyFill="1" applyAlignment="1">
      <alignment horizontal="right" vertical="center"/>
    </xf>
    <xf numFmtId="165" fontId="9" fillId="0" borderId="0" xfId="4" applyNumberFormat="1" applyFont="1" applyFill="1" applyAlignment="1">
      <alignment horizontal="right" vertical="center"/>
    </xf>
    <xf numFmtId="167" fontId="22" fillId="0" borderId="0" xfId="1" applyNumberFormat="1" applyFont="1" applyFill="1" applyAlignment="1">
      <alignment horizontal="right" vertical="center"/>
    </xf>
    <xf numFmtId="167" fontId="11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1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horizontal="left" vertical="center"/>
    </xf>
    <xf numFmtId="167" fontId="23" fillId="0" borderId="0" xfId="1" applyNumberFormat="1" applyFont="1" applyAlignment="1">
      <alignment horizontal="left" vertical="center" wrapText="1"/>
    </xf>
    <xf numFmtId="165" fontId="24" fillId="0" borderId="0" xfId="1" applyNumberFormat="1" applyFont="1" applyAlignment="1">
      <alignment horizontal="left" vertical="center" wrapText="1"/>
    </xf>
    <xf numFmtId="167" fontId="24" fillId="0" borderId="0" xfId="1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left" vertical="center"/>
    </xf>
    <xf numFmtId="167" fontId="25" fillId="0" borderId="0" xfId="1" applyNumberFormat="1" applyFont="1" applyAlignment="1">
      <alignment horizontal="left" vertical="center" wrapText="1"/>
    </xf>
    <xf numFmtId="167" fontId="10" fillId="2" borderId="0" xfId="1" applyNumberFormat="1" applyFont="1" applyFill="1" applyAlignment="1">
      <alignment horizontal="right" vertical="center"/>
    </xf>
    <xf numFmtId="167" fontId="2" fillId="0" borderId="0" xfId="1" quotePrefix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0" fillId="0" borderId="0" xfId="4" applyNumberFormat="1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10" fontId="18" fillId="0" borderId="0" xfId="4" applyNumberFormat="1" applyFont="1" applyAlignment="1">
      <alignment horizontal="right" vertical="center"/>
    </xf>
    <xf numFmtId="43" fontId="19" fillId="0" borderId="0" xfId="0" applyNumberFormat="1" applyFont="1" applyAlignment="1">
      <alignment horizontal="right" vertical="center"/>
    </xf>
    <xf numFmtId="9" fontId="0" fillId="0" borderId="0" xfId="4" applyFont="1" applyAlignment="1">
      <alignment vertical="center"/>
    </xf>
    <xf numFmtId="10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10" fontId="3" fillId="0" borderId="0" xfId="4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71" fontId="0" fillId="0" borderId="0" xfId="0" applyNumberFormat="1" applyAlignment="1">
      <alignment vertical="center"/>
    </xf>
    <xf numFmtId="10" fontId="0" fillId="0" borderId="0" xfId="4" applyNumberFormat="1" applyFont="1" applyAlignment="1">
      <alignment vertical="center"/>
    </xf>
    <xf numFmtId="172" fontId="0" fillId="0" borderId="0" xfId="1" applyNumberFormat="1" applyFont="1" applyAlignment="1">
      <alignment vertical="center"/>
    </xf>
    <xf numFmtId="9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</cellXfs>
  <cellStyles count="759">
    <cellStyle name="Comma" xfId="1" builtinId="3"/>
    <cellStyle name="Comma 10" xfId="637" xr:uid="{1D385BE5-EC2B-4BFF-926B-2A2CAFB2DC1D}"/>
    <cellStyle name="Comma 10 2" xfId="717" xr:uid="{39CCA065-3A48-4729-B4E6-734D7BD69737}"/>
    <cellStyle name="Comma 10 7 2" xfId="7" xr:uid="{23994755-1970-47AC-9394-5AB902DEA135}"/>
    <cellStyle name="Comma 11" xfId="2" xr:uid="{00000000-0005-0000-0000-000001000000}"/>
    <cellStyle name="Comma 11 2" xfId="720" xr:uid="{C271F083-A163-4FD8-8489-1B4810C6160E}"/>
    <cellStyle name="Comma 11 3" xfId="640" xr:uid="{CA5F1E59-34C3-425A-8930-B07F7631C32C}"/>
    <cellStyle name="Comma 12" xfId="643" xr:uid="{FEAEC060-733B-4FCD-8554-7E8CA2D25C1C}"/>
    <cellStyle name="Comma 12 2" xfId="723" xr:uid="{A579DE88-A268-43AB-8B39-8C3F440513BF}"/>
    <cellStyle name="Comma 13" xfId="646" xr:uid="{E4F224CF-68B7-4F06-BC22-B3BDF40C82ED}"/>
    <cellStyle name="Comma 13 2" xfId="726" xr:uid="{9B89D7EE-DD24-4C86-A7C9-BC2FA2C3CD17}"/>
    <cellStyle name="Comma 14" xfId="647" xr:uid="{DC242D6F-4687-4E16-A75D-858F65F6536F}"/>
    <cellStyle name="Comma 14 2" xfId="727" xr:uid="{EBBA7873-9EA8-4B28-B06E-0EA328DBF17E}"/>
    <cellStyle name="Comma 15" xfId="655" xr:uid="{6B8BD28B-541D-4C16-BB83-1204672B4597}"/>
    <cellStyle name="Comma 15 2" xfId="734" xr:uid="{10E18C50-68DF-482B-9465-942C73BB9F28}"/>
    <cellStyle name="Comma 16" xfId="659" xr:uid="{31A0618B-5673-4F9C-9AFB-15D2D20FAF91}"/>
    <cellStyle name="Comma 16 2" xfId="738" xr:uid="{105785C0-0562-449F-AA1C-BBF52DE9B787}"/>
    <cellStyle name="Comma 17" xfId="664" xr:uid="{A046F67F-8A71-4739-9774-3D128F94767E}"/>
    <cellStyle name="Comma 17 2" xfId="743" xr:uid="{424223DB-976C-4107-88A5-B2E989C046FB}"/>
    <cellStyle name="Comma 18" xfId="667" xr:uid="{F5CF3EE2-1EE4-40F4-BF1E-9AB26F85BB5A}"/>
    <cellStyle name="Comma 18 2" xfId="746" xr:uid="{E6F1DB31-48B9-452A-8A63-0DA7068C9D1F}"/>
    <cellStyle name="Comma 19" xfId="669" xr:uid="{5FB43D37-D78E-4163-92F8-D316DDC87CE7}"/>
    <cellStyle name="Comma 19 2" xfId="748" xr:uid="{8B3AB895-F13B-4069-B727-E4E509E947E0}"/>
    <cellStyle name="Comma 2" xfId="3" xr:uid="{00000000-0005-0000-0000-000002000000}"/>
    <cellStyle name="Comma 2 10" xfId="650" xr:uid="{EB99FA48-1FD3-461D-9FD0-166DFBC0932E}"/>
    <cellStyle name="Comma 2 10 2" xfId="730" xr:uid="{61B4BD79-0A20-4CB0-8F90-4129BA95A105}"/>
    <cellStyle name="Comma 2 11" xfId="656" xr:uid="{8568CA6D-0161-482D-90FB-E568D3AFF6A2}"/>
    <cellStyle name="Comma 2 11 2" xfId="735" xr:uid="{B2E30FEA-CC78-4E7C-9C99-23D17767CF68}"/>
    <cellStyle name="Comma 2 12" xfId="672" xr:uid="{825360A2-1301-4235-8847-6EE7F555E648}"/>
    <cellStyle name="Comma 2 13" xfId="11" xr:uid="{60AC6C61-087E-4FE7-BA8D-CC4B0B506BFE}"/>
    <cellStyle name="Comma 2 2" xfId="20" xr:uid="{B6B002A4-A905-4F8C-AF5E-B42A1C83604C}"/>
    <cellStyle name="Comma 2 2 10" xfId="36" xr:uid="{4FD23D2E-68A7-4DE9-A4A8-656D7258F163}"/>
    <cellStyle name="Comma 2 2 11" xfId="48" xr:uid="{8BF791E3-5C7F-4B98-B036-55BBC55148FF}"/>
    <cellStyle name="Comma 2 2 12" xfId="50" xr:uid="{7758A90F-101D-44F2-94F3-F41170757751}"/>
    <cellStyle name="Comma 2 2 13" xfId="60" xr:uid="{270B8ED7-0F69-4013-8D3C-8A9C23545FFE}"/>
    <cellStyle name="Comma 2 2 14" xfId="40" xr:uid="{2AD19678-F636-4202-B867-931E47ABB08F}"/>
    <cellStyle name="Comma 2 2 15" xfId="44" xr:uid="{A9A7CA6A-EAFF-459C-AE0A-500308C2997A}"/>
    <cellStyle name="Comma 2 2 16" xfId="64" xr:uid="{4CCE879C-799A-481C-A5C4-3B4095C02F48}"/>
    <cellStyle name="Comma 2 2 17" xfId="70" xr:uid="{C816BFD2-B709-4CBE-B8B8-6DD64CFC7316}"/>
    <cellStyle name="Comma 2 2 18" xfId="76" xr:uid="{1748C1FA-7B28-4E35-A751-0BD7D7DF4F40}"/>
    <cellStyle name="Comma 2 2 19" xfId="82" xr:uid="{E797E682-17D1-44D6-ABCD-D83645299964}"/>
    <cellStyle name="Comma 2 2 2" xfId="37" xr:uid="{D321152B-B0BF-49D6-9A2E-8DC771FCAB80}"/>
    <cellStyle name="Comma 2 2 2 10" xfId="81" xr:uid="{96B85E9C-71D2-45BA-82BC-9772FF7BECA4}"/>
    <cellStyle name="Comma 2 2 2 11" xfId="87" xr:uid="{129DED22-3693-443E-979A-D9EC9B68EB66}"/>
    <cellStyle name="Comma 2 2 2 12" xfId="93" xr:uid="{E12833F1-33D7-49E4-8203-0C61A8077228}"/>
    <cellStyle name="Comma 2 2 2 13" xfId="99" xr:uid="{23CFD216-3C6A-4351-B667-66C0CD5FBD73}"/>
    <cellStyle name="Comma 2 2 2 14" xfId="105" xr:uid="{904E0726-9DD6-4024-A189-E05ABA8E335B}"/>
    <cellStyle name="Comma 2 2 2 15" xfId="111" xr:uid="{567D3384-07FB-4020-9792-02E37216AB8A}"/>
    <cellStyle name="Comma 2 2 2 16" xfId="117" xr:uid="{344E29AF-E93E-4094-9681-CB4C2DADEBF8}"/>
    <cellStyle name="Comma 2 2 2 17" xfId="122" xr:uid="{447A9C6D-C984-4A19-99BD-9D7DA26FD2B7}"/>
    <cellStyle name="Comma 2 2 2 18" xfId="127" xr:uid="{AB4D23A5-B6F8-42F3-BB73-E9F0D0ABA129}"/>
    <cellStyle name="Comma 2 2 2 19" xfId="132" xr:uid="{00ABC439-7681-4717-8FC3-3718BAA5E009}"/>
    <cellStyle name="Comma 2 2 2 2" xfId="38" xr:uid="{4DA93EE6-E8E2-41E0-9A5D-ED5897AE0F8E}"/>
    <cellStyle name="Comma 2 2 2 2 10" xfId="101" xr:uid="{61700380-8197-4A5D-B1E4-54FFD23CF3A2}"/>
    <cellStyle name="Comma 2 2 2 2 11" xfId="107" xr:uid="{8284ACE8-C39F-4246-A01F-919C462A776C}"/>
    <cellStyle name="Comma 2 2 2 2 12" xfId="113" xr:uid="{F7F0543D-47FA-4989-A228-7D1EF755105E}"/>
    <cellStyle name="Comma 2 2 2 2 13" xfId="118" xr:uid="{7522F82A-9E2C-433C-B96C-AEB1DA6C004C}"/>
    <cellStyle name="Comma 2 2 2 2 14" xfId="123" xr:uid="{3F16FD46-81D9-4BC5-BBE3-7D6B1F2F7F04}"/>
    <cellStyle name="Comma 2 2 2 2 15" xfId="128" xr:uid="{0650607D-71A9-4978-A440-49F67B0D09FA}"/>
    <cellStyle name="Comma 2 2 2 2 16" xfId="133" xr:uid="{0E8362E4-0CE5-44FE-9135-0940AF6D65DE}"/>
    <cellStyle name="Comma 2 2 2 2 17" xfId="138" xr:uid="{7CFF3AB8-5881-453F-A1FB-88D8D6ACFEAC}"/>
    <cellStyle name="Comma 2 2 2 2 18" xfId="143" xr:uid="{1976C4F9-9B71-49D2-84FD-21F16C6B025F}"/>
    <cellStyle name="Comma 2 2 2 2 19" xfId="148" xr:uid="{9898C1BE-6B26-4155-8CAC-04E8BD229C52}"/>
    <cellStyle name="Comma 2 2 2 2 2" xfId="55" xr:uid="{9F9A14B0-4582-46DA-805C-89342273E71C}"/>
    <cellStyle name="Comma 2 2 2 2 2 10" xfId="108" xr:uid="{56FB39D2-D2A6-4D1F-B268-10FAF5306166}"/>
    <cellStyle name="Comma 2 2 2 2 2 11" xfId="114" xr:uid="{EFAAA327-AA2E-412B-B37D-1BF2666B788C}"/>
    <cellStyle name="Comma 2 2 2 2 2 12" xfId="119" xr:uid="{77C0E05C-D875-4F6D-9C18-CB58F97827F6}"/>
    <cellStyle name="Comma 2 2 2 2 2 13" xfId="124" xr:uid="{272C2A31-24F8-46F2-B090-37D10F5B1AEE}"/>
    <cellStyle name="Comma 2 2 2 2 2 14" xfId="129" xr:uid="{A9C89CD4-C9A0-44BA-8E8C-A11A8A4DEFAC}"/>
    <cellStyle name="Comma 2 2 2 2 2 15" xfId="134" xr:uid="{70C19AC0-2868-4E71-B6AC-450A09F058FF}"/>
    <cellStyle name="Comma 2 2 2 2 2 16" xfId="139" xr:uid="{6776F72D-8BEB-482D-AC9B-84CC85FE6E63}"/>
    <cellStyle name="Comma 2 2 2 2 2 17" xfId="144" xr:uid="{98A38720-492A-48C2-B3F8-46D5EB6CDA85}"/>
    <cellStyle name="Comma 2 2 2 2 2 18" xfId="149" xr:uid="{F9AD08F1-3C25-4608-8DCD-B0696174E094}"/>
    <cellStyle name="Comma 2 2 2 2 2 19" xfId="155" xr:uid="{DE1FEB03-BA54-4D02-8B2D-15015AC6FAC0}"/>
    <cellStyle name="Comma 2 2 2 2 2 2" xfId="56" xr:uid="{1DFD5AA3-4342-4A29-89B2-2FABA8199720}"/>
    <cellStyle name="Comma 2 2 2 2 2 2 10" xfId="348" xr:uid="{BCFE0430-E512-4FA1-8691-A93AFB3444A6}"/>
    <cellStyle name="Comma 2 2 2 2 2 2 11" xfId="360" xr:uid="{D7C13D22-D63D-4308-B457-855E9AACB7D7}"/>
    <cellStyle name="Comma 2 2 2 2 2 2 12" xfId="370" xr:uid="{2FABB584-F6CD-4F7D-9938-5FA4F70E4707}"/>
    <cellStyle name="Comma 2 2 2 2 2 2 13" xfId="379" xr:uid="{6834DE42-2362-4508-AF0D-CF348E6CB88F}"/>
    <cellStyle name="Comma 2 2 2 2 2 2 14" xfId="387" xr:uid="{09740DFE-B355-4C00-849F-3816A6EC1BF9}"/>
    <cellStyle name="Comma 2 2 2 2 2 2 15" xfId="317" xr:uid="{5F2FCC70-A152-474B-A866-0836AC4ECE4A}"/>
    <cellStyle name="Comma 2 2 2 2 2 2 16" xfId="420" xr:uid="{98E04E55-F2CE-4680-BC30-23A7F5011E03}"/>
    <cellStyle name="Comma 2 2 2 2 2 2 17" xfId="455" xr:uid="{1B576735-93C5-4068-BF20-3472F3CA6F19}"/>
    <cellStyle name="Comma 2 2 2 2 2 2 18" xfId="530" xr:uid="{C53AB750-0F3D-4ADB-9316-F2CDB48260AE}"/>
    <cellStyle name="Comma 2 2 2 2 2 2 19" xfId="435" xr:uid="{90022281-6198-4E3E-BEC5-987365851B20}"/>
    <cellStyle name="Comma 2 2 2 2 2 2 2" xfId="181" xr:uid="{FC03F5EF-5D3A-4B90-BB7C-26971C9E7C28}"/>
    <cellStyle name="Comma 2 2 2 2 2 2 2 10" xfId="206" xr:uid="{346274DF-8C9B-407E-B5ED-9DCD461C1A76}"/>
    <cellStyle name="Comma 2 2 2 2 2 2 2 11" xfId="196" xr:uid="{44BEA942-5843-42DB-BCA0-4BE684A303B1}"/>
    <cellStyle name="Comma 2 2 2 2 2 2 2 12" xfId="212" xr:uid="{AF124EF1-BF65-4BD4-9CED-762474E10532}"/>
    <cellStyle name="Comma 2 2 2 2 2 2 2 13" xfId="251" xr:uid="{7AFCAEE8-E84C-4F2F-8627-FFD26E5AF5DB}"/>
    <cellStyle name="Comma 2 2 2 2 2 2 2 14" xfId="272" xr:uid="{FCACBCF4-C80D-4B22-9591-6E07839E72B9}"/>
    <cellStyle name="Comma 2 2 2 2 2 2 2 15" xfId="344" xr:uid="{BDCE3FA3-C349-4809-8127-79DFC736A272}"/>
    <cellStyle name="Comma 2 2 2 2 2 2 2 16" xfId="421" xr:uid="{82AA2D6B-CDBC-4718-B3A5-BEEF7788D438}"/>
    <cellStyle name="Comma 2 2 2 2 2 2 2 17" xfId="538" xr:uid="{BCF4D89B-A588-4FBE-A978-133BE50BD722}"/>
    <cellStyle name="Comma 2 2 2 2 2 2 2 18" xfId="417" xr:uid="{71F95143-BF70-42A5-B36E-947792FA9C2D}"/>
    <cellStyle name="Comma 2 2 2 2 2 2 2 19" xfId="504" xr:uid="{5590DD2D-31F2-46EE-AD64-AA911AB0A03C}"/>
    <cellStyle name="Comma 2 2 2 2 2 2 2 2" xfId="182" xr:uid="{0F225179-84E9-4E88-B6FF-1C0BF65FFD07}"/>
    <cellStyle name="Comma 2 2 2 2 2 2 2 2 10" xfId="513" xr:uid="{0E4331EB-07CC-4CF5-A4DF-6555D78E7B38}"/>
    <cellStyle name="Comma 2 2 2 2 2 2 2 2 11" xfId="459" xr:uid="{E946645F-D88B-4A94-8465-8765411F4C22}"/>
    <cellStyle name="Comma 2 2 2 2 2 2 2 2 12" xfId="432" xr:uid="{4B4C06F6-3FC3-4D49-B875-35ABD6330751}"/>
    <cellStyle name="Comma 2 2 2 2 2 2 2 2 13" xfId="575" xr:uid="{2AE49A49-4C3F-42CA-81F7-7B83094B8DCE}"/>
    <cellStyle name="Comma 2 2 2 2 2 2 2 2 14" xfId="526" xr:uid="{D156002C-F5F0-496A-A437-C16329E5A47D}"/>
    <cellStyle name="Comma 2 2 2 2 2 2 2 2 15" xfId="536" xr:uid="{7DBC4F3B-3297-429F-9797-692C16BF7C30}"/>
    <cellStyle name="Comma 2 2 2 2 2 2 2 2 16" xfId="426" xr:uid="{D0261202-8C90-482F-BC9C-666BA59D2FF8}"/>
    <cellStyle name="Comma 2 2 2 2 2 2 2 2 17" xfId="429" xr:uid="{1819A35A-8979-4215-B288-63D3F49A9941}"/>
    <cellStyle name="Comma 2 2 2 2 2 2 2 2 18" xfId="528" xr:uid="{E7F0DFEC-5429-4EBF-8723-8E503FA7F00D}"/>
    <cellStyle name="Comma 2 2 2 2 2 2 2 2 19" xfId="511" xr:uid="{0336D3FB-E438-4148-8DA3-AF34722EB8E0}"/>
    <cellStyle name="Comma 2 2 2 2 2 2 2 2 2" xfId="456" xr:uid="{7257C5AE-E847-412D-9AB6-D73F35091537}"/>
    <cellStyle name="Comma 2 2 2 2 2 2 2 2 2 10" xfId="566" xr:uid="{72FDD483-C0C7-4714-B15D-C67C9C1B5A40}"/>
    <cellStyle name="Comma 2 2 2 2 2 2 2 2 2 11" xfId="569" xr:uid="{D5D77AD1-9CEA-40B3-AE2B-1E824DFC0BE7}"/>
    <cellStyle name="Comma 2 2 2 2 2 2 2 2 2 12" xfId="572" xr:uid="{4FACFA56-C7ED-4035-A948-B8D565259DDF}"/>
    <cellStyle name="Comma 2 2 2 2 2 2 2 2 2 13" xfId="446" xr:uid="{C882F1A0-E08F-4DDB-B46E-3FB8B58971C5}"/>
    <cellStyle name="Comma 2 2 2 2 2 2 2 2 2 14" xfId="576" xr:uid="{5CAE105E-F61E-4866-97AE-B9918DEE34B8}"/>
    <cellStyle name="Comma 2 2 2 2 2 2 2 2 2 15" xfId="579" xr:uid="{40BBED82-B77D-438D-A43D-21959F8C7E65}"/>
    <cellStyle name="Comma 2 2 2 2 2 2 2 2 2 16" xfId="582" xr:uid="{1637B688-1F18-489E-9C1B-6FC9223591EC}"/>
    <cellStyle name="Comma 2 2 2 2 2 2 2 2 2 17" xfId="585" xr:uid="{60674751-A1B1-4E05-B34B-D21976D104D9}"/>
    <cellStyle name="Comma 2 2 2 2 2 2 2 2 2 18" xfId="588" xr:uid="{159CEAE8-BC6D-42EA-A0FE-D29569043DA5}"/>
    <cellStyle name="Comma 2 2 2 2 2 2 2 2 2 19" xfId="590" xr:uid="{F9BF6686-6696-40F6-8856-D936C1BA9D26}"/>
    <cellStyle name="Comma 2 2 2 2 2 2 2 2 2 2" xfId="457" xr:uid="{EA5408ED-98C3-4021-B7F3-9A8AEB607049}"/>
    <cellStyle name="Comma 2 2 2 2 2 2 2 2 2 20" xfId="592" xr:uid="{60C2EF63-5392-47F2-9343-0589D845B014}"/>
    <cellStyle name="Comma 2 2 2 2 2 2 2 2 2 21" xfId="594" xr:uid="{2A218440-7497-4E99-BCF7-05E420C3BCAF}"/>
    <cellStyle name="Comma 2 2 2 2 2 2 2 2 2 22" xfId="596" xr:uid="{45B5F822-1554-4998-87BF-ACAAA2CA3CA1}"/>
    <cellStyle name="Comma 2 2 2 2 2 2 2 2 2 23" xfId="598" xr:uid="{71F48405-FE79-4BBD-A06C-C62FF7F9527F}"/>
    <cellStyle name="Comma 2 2 2 2 2 2 2 2 2 24" xfId="600" xr:uid="{C2D2E652-7066-46EC-8140-5EF6C4681E98}"/>
    <cellStyle name="Comma 2 2 2 2 2 2 2 2 2 25" xfId="601" xr:uid="{CB019DA9-DFA3-40AD-97ED-FB1BCDBFB36D}"/>
    <cellStyle name="Comma 2 2 2 2 2 2 2 2 2 26" xfId="602" xr:uid="{568E9AC0-463E-4C6F-8285-8DC07E4D8841}"/>
    <cellStyle name="Comma 2 2 2 2 2 2 2 2 2 3" xfId="540" xr:uid="{431F103D-AE44-476F-B3C4-7DDA2B01F75E}"/>
    <cellStyle name="Comma 2 2 2 2 2 2 2 2 2 4" xfId="543" xr:uid="{4140352B-82B7-41CF-905B-9EBA3DED6096}"/>
    <cellStyle name="Comma 2 2 2 2 2 2 2 2 2 5" xfId="546" xr:uid="{ED3157FC-15D2-4EC6-A55B-7F58C8FC6061}"/>
    <cellStyle name="Comma 2 2 2 2 2 2 2 2 2 6" xfId="549" xr:uid="{9711CE05-56BE-4D05-8D10-BD0133483A83}"/>
    <cellStyle name="Comma 2 2 2 2 2 2 2 2 2 7" xfId="553" xr:uid="{FDC31C0E-2B8E-43C2-877B-BEACEC79D331}"/>
    <cellStyle name="Comma 2 2 2 2 2 2 2 2 2 8" xfId="558" xr:uid="{AAD26BB2-0585-42A7-B85C-DB459C9C3D1D}"/>
    <cellStyle name="Comma 2 2 2 2 2 2 2 2 2 9" xfId="563" xr:uid="{42D34A26-A207-4D35-9271-AD44473CBD0C}"/>
    <cellStyle name="Comma 2 2 2 2 2 2 2 2 20" xfId="564" xr:uid="{EB12F0D2-C19F-459B-819E-FB3E46BFD5A4}"/>
    <cellStyle name="Comma 2 2 2 2 2 2 2 2 21" xfId="444" xr:uid="{A3C7D42B-3875-4027-A29F-056CF59D30E5}"/>
    <cellStyle name="Comma 2 2 2 2 2 2 2 2 22" xfId="501" xr:uid="{DDEBD9D0-9073-459C-B2BD-9898772C2402}"/>
    <cellStyle name="Comma 2 2 2 2 2 2 2 2 23" xfId="423" xr:uid="{8924F832-DE9D-46CB-BE0B-F3573223F8A8}"/>
    <cellStyle name="Comma 2 2 2 2 2 2 2 2 24" xfId="498" xr:uid="{9AD5892F-9942-4C71-AF3C-CF0E1CBF4867}"/>
    <cellStyle name="Comma 2 2 2 2 2 2 2 2 25" xfId="441" xr:uid="{8076EF84-72D5-4790-B6E2-4C903EF87137}"/>
    <cellStyle name="Comma 2 2 2 2 2 2 2 2 26" xfId="493" xr:uid="{57B37139-5040-4B78-BD61-5FF20AD09B2D}"/>
    <cellStyle name="Comma 2 2 2 2 2 2 2 2 3" xfId="412" xr:uid="{71DDC266-CA55-4D98-A5AC-96376C10BC3B}"/>
    <cellStyle name="Comma 2 2 2 2 2 2 2 2 4" xfId="413" xr:uid="{16ED6576-C80C-49B6-B058-CE33E35A958E}"/>
    <cellStyle name="Comma 2 2 2 2 2 2 2 2 5" xfId="512" xr:uid="{3C757503-53DA-46BB-90C3-EFADFFC88C36}"/>
    <cellStyle name="Comma 2 2 2 2 2 2 2 2 6" xfId="497" xr:uid="{26BCBC0A-566A-4345-A4F9-3C39C4B76538}"/>
    <cellStyle name="Comma 2 2 2 2 2 2 2 2 7" xfId="425" xr:uid="{331F59A6-CB83-4022-BE0B-2564C99E7E8C}"/>
    <cellStyle name="Comma 2 2 2 2 2 2 2 2 8" xfId="533" xr:uid="{976A7D70-148C-4B3D-8673-152F9D061B4A}"/>
    <cellStyle name="Comma 2 2 2 2 2 2 2 2 9" xfId="438" xr:uid="{95E35D9C-FF5F-4FF4-A7ED-2A7624B3D260}"/>
    <cellStyle name="Comma 2 2 2 2 2 2 2 20" xfId="469" xr:uid="{9FE14D33-349A-4AB2-BCD1-19C582528A6A}"/>
    <cellStyle name="Comma 2 2 2 2 2 2 2 21" xfId="484" xr:uid="{125F93A9-5B7C-436B-9A6B-C240218F606F}"/>
    <cellStyle name="Comma 2 2 2 2 2 2 2 22" xfId="448" xr:uid="{B3CA48F6-2996-4BCE-BCE9-31FC22986768}"/>
    <cellStyle name="Comma 2 2 2 2 2 2 2 23" xfId="416" xr:uid="{7BD02780-AA7B-4AB4-8E55-8B8218EBF503}"/>
    <cellStyle name="Comma 2 2 2 2 2 2 2 24" xfId="490" xr:uid="{5FB13DCB-E0CF-4A69-A73C-A0C05AA76A1F}"/>
    <cellStyle name="Comma 2 2 2 2 2 2 2 25" xfId="463" xr:uid="{C918B2DD-736F-47E3-BC4D-EF21F532C32A}"/>
    <cellStyle name="Comma 2 2 2 2 2 2 2 26" xfId="481" xr:uid="{08D93E94-AD46-48ED-819D-3D203AC0E0D4}"/>
    <cellStyle name="Comma 2 2 2 2 2 2 2 27" xfId="535" xr:uid="{6A0CA6AD-D85E-42F3-AFE7-D67ADE1965D0}"/>
    <cellStyle name="Comma 2 2 2 2 2 2 2 28" xfId="518" xr:uid="{D92D6064-E59B-4ACE-A76D-5E9B8C4EB681}"/>
    <cellStyle name="Comma 2 2 2 2 2 2 2 29" xfId="424" xr:uid="{0AE5D2FD-CAF4-4A72-9A12-F92FD8433C1C}"/>
    <cellStyle name="Comma 2 2 2 2 2 2 2 3" xfId="185" xr:uid="{8E4E99DA-78B9-4DBF-A99D-6C353A7DCCA1}"/>
    <cellStyle name="Comma 2 2 2 2 2 2 2 30" xfId="522" xr:uid="{8997E5AC-8446-4B43-B881-5EFDB7A58772}"/>
    <cellStyle name="Comma 2 2 2 2 2 2 2 31" xfId="556" xr:uid="{333AAC5F-D838-42DB-B5D0-F64B5F4C18C0}"/>
    <cellStyle name="Comma 2 2 2 2 2 2 2 32" xfId="422" xr:uid="{A80D5324-3F22-40C6-9C6C-31B85B11FADC}"/>
    <cellStyle name="Comma 2 2 2 2 2 2 2 33" xfId="439" xr:uid="{1E7377E0-A51A-4C30-B508-FD6AF25443A8}"/>
    <cellStyle name="Comma 2 2 2 2 2 2 2 34" xfId="557" xr:uid="{979555C1-BFA5-4870-A52E-2FE006374D63}"/>
    <cellStyle name="Comma 2 2 2 2 2 2 2 35" xfId="453" xr:uid="{5EBD7C74-A3B9-4089-830D-5E665654E277}"/>
    <cellStyle name="Comma 2 2 2 2 2 2 2 36" xfId="428" xr:uid="{517F7D7A-76D4-4C90-A68F-DF91F7C78F99}"/>
    <cellStyle name="Comma 2 2 2 2 2 2 2 37" xfId="529" xr:uid="{918833E4-98B5-48B0-9FC8-429BD2848829}"/>
    <cellStyle name="Comma 2 2 2 2 2 2 2 38" xfId="508" xr:uid="{7CCB81D9-E4E0-451B-9711-539DE453C7F6}"/>
    <cellStyle name="Comma 2 2 2 2 2 2 2 39" xfId="479" xr:uid="{F0740D6F-EB09-469F-B699-65D5A0E3B4FE}"/>
    <cellStyle name="Comma 2 2 2 2 2 2 2 4" xfId="202" xr:uid="{5955E83C-95D1-4A0D-893F-954F08E48B27}"/>
    <cellStyle name="Comma 2 2 2 2 2 2 2 40" xfId="458" xr:uid="{4B73D672-9844-4488-87D0-D4E43813EFFD}"/>
    <cellStyle name="Comma 2 2 2 2 2 2 2 5" xfId="218" xr:uid="{8F3CF366-752A-4D7D-8108-BEA2A5F53E36}"/>
    <cellStyle name="Comma 2 2 2 2 2 2 2 6" xfId="261" xr:uid="{A5944857-650D-4477-89BE-AE68BE0A3F07}"/>
    <cellStyle name="Comma 2 2 2 2 2 2 2 7" xfId="241" xr:uid="{EF33C18D-B304-47AE-8E17-940AC2F2775A}"/>
    <cellStyle name="Comma 2 2 2 2 2 2 2 8" xfId="173" xr:uid="{0334B7F2-F75E-44F9-A2B0-B81A52F66524}"/>
    <cellStyle name="Comma 2 2 2 2 2 2 2 9" xfId="197" xr:uid="{1D5EDF73-BAF8-42C2-B6E9-870C17881F1E}"/>
    <cellStyle name="Comma 2 2 2 2 2 2 20" xfId="541" xr:uid="{5AEC0574-E319-422B-B545-F13430F7E168}"/>
    <cellStyle name="Comma 2 2 2 2 2 2 21" xfId="544" xr:uid="{A08CC3BE-4F5A-489C-ACD1-D4B27056AA00}"/>
    <cellStyle name="Comma 2 2 2 2 2 2 22" xfId="547" xr:uid="{BEAA1F0B-CECC-4F2C-B74B-2E4E33CDE037}"/>
    <cellStyle name="Comma 2 2 2 2 2 2 23" xfId="551" xr:uid="{046937B4-FF57-458B-B89C-07796E997462}"/>
    <cellStyle name="Comma 2 2 2 2 2 2 24" xfId="555" xr:uid="{F16CF587-4227-491D-AF80-06891A09750B}"/>
    <cellStyle name="Comma 2 2 2 2 2 2 25" xfId="559" xr:uid="{4FA097DF-8B28-4B90-88F4-8ACEEDA9061D}"/>
    <cellStyle name="Comma 2 2 2 2 2 2 26" xfId="565" xr:uid="{ABB31224-3B91-4EFD-BB41-0D01ECC17D83}"/>
    <cellStyle name="Comma 2 2 2 2 2 2 27" xfId="475" xr:uid="{C10BF859-0587-43D2-A255-5F98B8CDE086}"/>
    <cellStyle name="Comma 2 2 2 2 2 2 28" xfId="485" xr:uid="{462B894E-D095-46A8-B85D-CFD0081F0DD0}"/>
    <cellStyle name="Comma 2 2 2 2 2 2 29" xfId="451" xr:uid="{019BBABB-D4B0-424C-A8A9-A44240EEC5E1}"/>
    <cellStyle name="Comma 2 2 2 2 2 2 3" xfId="187" xr:uid="{BE9F3F13-8269-4C44-B322-36978C2B658A}"/>
    <cellStyle name="Comma 2 2 2 2 2 2 30" xfId="523" xr:uid="{82531367-9A20-4E3C-899A-7CAB634FAAF0}"/>
    <cellStyle name="Comma 2 2 2 2 2 2 31" xfId="577" xr:uid="{B0200682-1C35-4DBF-8817-A89FED56EDFC}"/>
    <cellStyle name="Comma 2 2 2 2 2 2 32" xfId="580" xr:uid="{4084B8D2-4885-4E26-9D50-44E232257820}"/>
    <cellStyle name="Comma 2 2 2 2 2 2 33" xfId="583" xr:uid="{CD8090B1-479F-4B3C-A6D5-5A178CDD8FCE}"/>
    <cellStyle name="Comma 2 2 2 2 2 2 34" xfId="586" xr:uid="{971B45ED-0314-4AF4-A296-92C734261809}"/>
    <cellStyle name="Comma 2 2 2 2 2 2 35" xfId="589" xr:uid="{1CF42DAF-6A01-4189-860C-4F766D1EA426}"/>
    <cellStyle name="Comma 2 2 2 2 2 2 36" xfId="591" xr:uid="{5BC54A9A-6E89-485D-AD6E-AC0D9798E00C}"/>
    <cellStyle name="Comma 2 2 2 2 2 2 37" xfId="593" xr:uid="{BA8A8DD2-04FD-458A-ABFC-B0568F35FE72}"/>
    <cellStyle name="Comma 2 2 2 2 2 2 38" xfId="595" xr:uid="{EF678985-B604-4466-8560-2369E12F6C42}"/>
    <cellStyle name="Comma 2 2 2 2 2 2 39" xfId="597" xr:uid="{0C79395D-8FD7-4AB0-87B5-30A892D44B2D}"/>
    <cellStyle name="Comma 2 2 2 2 2 2 4" xfId="256" xr:uid="{356C82C3-49EC-4DD7-86FE-D2A1657956ED}"/>
    <cellStyle name="Comma 2 2 2 2 2 2 40" xfId="599" xr:uid="{846830CA-871C-48D1-986B-24FA05EE0BE1}"/>
    <cellStyle name="Comma 2 2 2 2 2 2 5" xfId="276" xr:uid="{3B41A80D-5118-4F8A-8FA1-131EC0A57DC9}"/>
    <cellStyle name="Comma 2 2 2 2 2 2 6" xfId="291" xr:uid="{1C92229A-A5F7-46F8-A499-BB855EB13668}"/>
    <cellStyle name="Comma 2 2 2 2 2 2 7" xfId="306" xr:uid="{3819ACCA-B040-4E15-94A8-FA029D983969}"/>
    <cellStyle name="Comma 2 2 2 2 2 2 8" xfId="321" xr:uid="{2513E662-4CEF-466C-B011-877050D808CD}"/>
    <cellStyle name="Comma 2 2 2 2 2 2 9" xfId="334" xr:uid="{0BD1D4F6-D5E9-4D40-A006-ABFCF8C08221}"/>
    <cellStyle name="Comma 2 2 2 2 2 20" xfId="163" xr:uid="{10BCA7C2-082D-40FE-B97D-CFB99FF69665}"/>
    <cellStyle name="Comma 2 2 2 2 2 21" xfId="209" xr:uid="{E3D5CED0-F843-4782-8915-E36FCA75C3DC}"/>
    <cellStyle name="Comma 2 2 2 2 2 22" xfId="262" xr:uid="{A69833B0-95EC-4EE6-B507-577F6B8E9D28}"/>
    <cellStyle name="Comma 2 2 2 2 2 23" xfId="282" xr:uid="{A41E8025-DEA7-4A31-89BE-6F3277A80E30}"/>
    <cellStyle name="Comma 2 2 2 2 2 24" xfId="297" xr:uid="{D2F0787E-ABDD-482C-8F54-EFE4D18410A2}"/>
    <cellStyle name="Comma 2 2 2 2 2 25" xfId="311" xr:uid="{0DBFF130-D0E0-46D9-B01E-3ECE633FA07F}"/>
    <cellStyle name="Comma 2 2 2 2 2 26" xfId="326" xr:uid="{8FF41510-0902-4C3F-A2D7-00075C553DBA}"/>
    <cellStyle name="Comma 2 2 2 2 2 27" xfId="339" xr:uid="{B365C199-5713-4412-BB77-24E2CB63E6B2}"/>
    <cellStyle name="Comma 2 2 2 2 2 28" xfId="352" xr:uid="{ED9E702A-CB11-40E6-B5C1-14B2DCDD9053}"/>
    <cellStyle name="Comma 2 2 2 2 2 29" xfId="363" xr:uid="{0CB14421-DD98-4D57-96A9-B74D892F7F08}"/>
    <cellStyle name="Comma 2 2 2 2 2 3" xfId="66" xr:uid="{82D03819-8437-459C-A03A-A54F757094AA}"/>
    <cellStyle name="Comma 2 2 2 2 2 30" xfId="374" xr:uid="{649948E7-AE0E-41E9-812F-7ED30A73A47E}"/>
    <cellStyle name="Comma 2 2 2 2 2 31" xfId="382" xr:uid="{2CDCF829-B987-42A0-B1D1-A5DCF1A68A64}"/>
    <cellStyle name="Comma 2 2 2 2 2 32" xfId="391" xr:uid="{FC3F5DFE-5333-4467-880B-9979B5D22C3A}"/>
    <cellStyle name="Comma 2 2 2 2 2 33" xfId="395" xr:uid="{43B9860D-702F-46C7-B127-F217A2016320}"/>
    <cellStyle name="Comma 2 2 2 2 2 34" xfId="411" xr:uid="{807D7E56-387B-41D3-AEDE-43B7249F7F25}"/>
    <cellStyle name="Comma 2 2 2 2 2 35" xfId="415" xr:uid="{82B91823-249D-479C-8FB4-DD98FCCAD880}"/>
    <cellStyle name="Comma 2 2 2 2 2 36" xfId="503" xr:uid="{D52AA6D8-D85E-4CFD-87E4-24570E5EBEF3}"/>
    <cellStyle name="Comma 2 2 2 2 2 37" xfId="477" xr:uid="{6B54A719-93E4-4979-8AC4-8370F09F04D0}"/>
    <cellStyle name="Comma 2 2 2 2 2 38" xfId="449" xr:uid="{59C38387-7BAB-43E7-9E2B-7F45BE5864CA}"/>
    <cellStyle name="Comma 2 2 2 2 2 39" xfId="499" xr:uid="{BCB5EE95-B723-4082-8794-5797826ACCBC}"/>
    <cellStyle name="Comma 2 2 2 2 2 4" xfId="72" xr:uid="{77C4EDC6-DA6C-49FF-8CA6-0DDF5C65816A}"/>
    <cellStyle name="Comma 2 2 2 2 2 40" xfId="516" xr:uid="{89DCEBB5-F71E-41E8-B933-81E10BD34802}"/>
    <cellStyle name="Comma 2 2 2 2 2 41" xfId="517" xr:uid="{E2340B74-8A8C-474E-9DE8-92FA60BF9757}"/>
    <cellStyle name="Comma 2 2 2 2 2 42" xfId="489" xr:uid="{F5385250-2F4B-44F6-9C0F-DF41C596F043}"/>
    <cellStyle name="Comma 2 2 2 2 2 43" xfId="480" xr:uid="{AD80B296-FEA6-4162-85A0-1DD1766D5A00}"/>
    <cellStyle name="Comma 2 2 2 2 2 44" xfId="474" xr:uid="{B1D23B57-9FEF-418D-AA45-241AF67EBB8B}"/>
    <cellStyle name="Comma 2 2 2 2 2 45" xfId="527" xr:uid="{373C6398-1C42-4EA4-A385-681D069F28F7}"/>
    <cellStyle name="Comma 2 2 2 2 2 46" xfId="407" xr:uid="{09DEFD88-DD51-45C9-AAFD-424213C257DB}"/>
    <cellStyle name="Comma 2 2 2 2 2 47" xfId="452" xr:uid="{86BA207C-18E7-4741-A991-25E446BC860A}"/>
    <cellStyle name="Comma 2 2 2 2 2 48" xfId="500" xr:uid="{4056A537-ABAD-4B25-8F80-7CB2044856B1}"/>
    <cellStyle name="Comma 2 2 2 2 2 49" xfId="470" xr:uid="{3B73186C-56A5-48C1-B15A-22DA311352DA}"/>
    <cellStyle name="Comma 2 2 2 2 2 5" xfId="78" xr:uid="{E90EA332-C0E3-4D38-8D9F-B56F7FA13E42}"/>
    <cellStyle name="Comma 2 2 2 2 2 50" xfId="548" xr:uid="{A11C8A80-2DB9-45F0-88D2-D8FE8D698208}"/>
    <cellStyle name="Comma 2 2 2 2 2 51" xfId="471" xr:uid="{064B22E8-82DE-4328-92F6-ED6F03E2C7C5}"/>
    <cellStyle name="Comma 2 2 2 2 2 52" xfId="520" xr:uid="{EDAD8D49-0649-4AE0-A1CA-B9BB736711A1}"/>
    <cellStyle name="Comma 2 2 2 2 2 53" xfId="539" xr:uid="{30C91CEF-9D1D-4414-BBB3-956452367817}"/>
    <cellStyle name="Comma 2 2 2 2 2 54" xfId="552" xr:uid="{93D52672-4F14-49E7-B6E0-58035D45ACF0}"/>
    <cellStyle name="Comma 2 2 2 2 2 55" xfId="510" xr:uid="{898E4B1E-9B65-4BFB-8502-7045E67FEEF8}"/>
    <cellStyle name="Comma 2 2 2 2 2 56" xfId="487" xr:uid="{8AA7729A-B136-4087-9872-B695E2917121}"/>
    <cellStyle name="Comma 2 2 2 2 2 57" xfId="460" xr:uid="{B5A462AE-E169-4053-A9F5-4BE322D34A4D}"/>
    <cellStyle name="Comma 2 2 2 2 2 58" xfId="514" xr:uid="{753B31C4-D720-4FE3-900A-55D12E083441}"/>
    <cellStyle name="Comma 2 2 2 2 2 6" xfId="84" xr:uid="{A2583B8B-5083-479F-A245-69BA6FE103B8}"/>
    <cellStyle name="Comma 2 2 2 2 2 7" xfId="90" xr:uid="{213DD1F6-6BAD-4567-8417-40FC62F26F44}"/>
    <cellStyle name="Comma 2 2 2 2 2 8" xfId="96" xr:uid="{816705D4-90E5-4245-B7CD-54290674F482}"/>
    <cellStyle name="Comma 2 2 2 2 2 9" xfId="102" xr:uid="{9AFA979B-BD40-43F5-B60D-34FAB90B665D}"/>
    <cellStyle name="Comma 2 2 2 2 20" xfId="154" xr:uid="{6BB302AE-A953-49FF-929E-FCDC9F64469B}"/>
    <cellStyle name="Comma 2 2 2 2 21" xfId="162" xr:uid="{39C2C6AF-7628-4E62-A3C6-65E5B2695272}"/>
    <cellStyle name="Comma 2 2 2 2 22" xfId="215" xr:uid="{5D2D5773-01B6-4743-ACAB-D3CDCB6B336C}"/>
    <cellStyle name="Comma 2 2 2 2 23" xfId="237" xr:uid="{4E147E5A-63A4-449F-AF2E-6CCF10D8DD82}"/>
    <cellStyle name="Comma 2 2 2 2 24" xfId="205" xr:uid="{433053E1-302C-43D5-8086-EBDA4AF28C22}"/>
    <cellStyle name="Comma 2 2 2 2 25" xfId="195" xr:uid="{F08B08B2-C05B-4C11-83BA-70DB6134E899}"/>
    <cellStyle name="Comma 2 2 2 2 26" xfId="217" xr:uid="{AD460C69-5712-4749-8B63-B2717D0B2E52}"/>
    <cellStyle name="Comma 2 2 2 2 27" xfId="270" xr:uid="{9357DCAE-F006-4105-8904-A1CEA2F6D4A1}"/>
    <cellStyle name="Comma 2 2 2 2 28" xfId="286" xr:uid="{17397139-4BE1-4E69-8147-C7BCEB67A574}"/>
    <cellStyle name="Comma 2 2 2 2 29" xfId="301" xr:uid="{B35F7796-5558-4A52-9BD2-BB20BDE795DD}"/>
    <cellStyle name="Comma 2 2 2 2 3" xfId="58" xr:uid="{967C3030-13B6-4D5B-A666-20636942861F}"/>
    <cellStyle name="Comma 2 2 2 2 30" xfId="315" xr:uid="{2AC39F32-CD51-4BB8-847C-C3C70D19F180}"/>
    <cellStyle name="Comma 2 2 2 2 31" xfId="330" xr:uid="{471BB6CE-208A-4F89-8CBF-FF8DD63DEF76}"/>
    <cellStyle name="Comma 2 2 2 2 32" xfId="343" xr:uid="{833D1994-972E-43E2-BF61-0CB19C2D183E}"/>
    <cellStyle name="Comma 2 2 2 2 33" xfId="356" xr:uid="{F382C0EB-2A33-497C-8849-5D36FA185B9F}"/>
    <cellStyle name="Comma 2 2 2 2 34" xfId="365" xr:uid="{D948759B-29EE-415B-B917-E567DBA4092C}"/>
    <cellStyle name="Comma 2 2 2 2 35" xfId="410" xr:uid="{BC28C95F-B592-4884-806F-BA476C0218F2}"/>
    <cellStyle name="Comma 2 2 2 2 36" xfId="414" xr:uid="{D0CBE6ED-3C0B-4D3F-AFB7-B4321BBB069E}"/>
    <cellStyle name="Comma 2 2 2 2 37" xfId="509" xr:uid="{8DD775A4-5202-437C-A517-7718156F6273}"/>
    <cellStyle name="Comma 2 2 2 2 38" xfId="525" xr:uid="{34118046-7F62-43C7-B02D-AF2F8919E780}"/>
    <cellStyle name="Comma 2 2 2 2 39" xfId="436" xr:uid="{BAEDF563-DC25-4A70-BDC9-2B2280B218A5}"/>
    <cellStyle name="Comma 2 2 2 2 4" xfId="65" xr:uid="{5ED6C76C-B9DA-49C6-9FD3-9B6A6D3E3196}"/>
    <cellStyle name="Comma 2 2 2 2 4 10" xfId="312" xr:uid="{6F50315D-E7C3-4C45-991C-7DB7BF3C3167}"/>
    <cellStyle name="Comma 2 2 2 2 4 11" xfId="327" xr:uid="{53AE5EC0-C5DB-4EDC-9641-611F4EF22022}"/>
    <cellStyle name="Comma 2 2 2 2 4 12" xfId="340" xr:uid="{7193CFDD-FA02-42E2-9858-A816DB961FD0}"/>
    <cellStyle name="Comma 2 2 2 2 4 13" xfId="353" xr:uid="{B959E151-D5D0-4BBB-AC09-E84506B8EF79}"/>
    <cellStyle name="Comma 2 2 2 2 4 14" xfId="364" xr:uid="{B2A56182-7CE5-429F-AE68-9691891F7EBE}"/>
    <cellStyle name="Comma 2 2 2 2 4 15" xfId="396" xr:uid="{87DE0896-435F-413C-A061-16024B4A56E6}"/>
    <cellStyle name="Comma 2 2 2 2 4 2" xfId="167" xr:uid="{876997EC-76DE-43B3-87F5-03EC82F3B631}"/>
    <cellStyle name="Comma 2 2 2 2 4 2 10" xfId="299" xr:uid="{60D90E35-D78F-4E33-A3E5-2F26632FA86C}"/>
    <cellStyle name="Comma 2 2 2 2 4 2 11" xfId="313" xr:uid="{B5C4A1B1-0165-43C9-A3EB-70C6A23B11B8}"/>
    <cellStyle name="Comma 2 2 2 2 4 2 12" xfId="328" xr:uid="{D949082D-CC92-4CBD-A063-FBD51D8D1BE4}"/>
    <cellStyle name="Comma 2 2 2 2 4 2 13" xfId="341" xr:uid="{1B65EF6D-5BFE-4831-9A7D-C4205FE6A59D}"/>
    <cellStyle name="Comma 2 2 2 2 4 2 14" xfId="354" xr:uid="{6FABEFCD-5E92-4049-A5EB-A01ECD7E5469}"/>
    <cellStyle name="Comma 2 2 2 2 4 2 15" xfId="398" xr:uid="{F2B74831-C2EE-4959-937B-C0B9AF2A3E88}"/>
    <cellStyle name="Comma 2 2 2 2 4 2 2" xfId="189" xr:uid="{C3176C9C-4A09-4979-9F17-2342961A97D2}"/>
    <cellStyle name="Comma 2 2 2 2 4 2 3" xfId="191" xr:uid="{1BA4E7B5-85FA-4DA4-B37E-94835F229A8C}"/>
    <cellStyle name="Comma 2 2 2 2 4 2 4" xfId="238" xr:uid="{26822CBB-C04F-4AFD-8457-08346E606476}"/>
    <cellStyle name="Comma 2 2 2 2 4 2 5" xfId="199" xr:uid="{7BAF4BD4-1E55-44F7-A09A-1294159A6F18}"/>
    <cellStyle name="Comma 2 2 2 2 4 2 6" xfId="165" xr:uid="{BD3DA43F-6AB6-4894-AD94-1A6D6949F655}"/>
    <cellStyle name="Comma 2 2 2 2 4 2 7" xfId="248" xr:uid="{425E851B-5C97-4564-AF50-A5283CBB83DF}"/>
    <cellStyle name="Comma 2 2 2 2 4 2 8" xfId="268" xr:uid="{FF247D94-7975-4B7F-B3E3-CDC1C57D3DB1}"/>
    <cellStyle name="Comma 2 2 2 2 4 2 9" xfId="284" xr:uid="{8D8BFC1C-67B1-4716-9DEC-EA060A60C2C3}"/>
    <cellStyle name="Comma 2 2 2 2 4 3" xfId="264" xr:uid="{E4708B24-A65E-4414-A6A9-4AEB9A632B5D}"/>
    <cellStyle name="Comma 2 2 2 2 4 4" xfId="208" xr:uid="{1F52A107-06FE-4BF7-B2E0-78187E68D147}"/>
    <cellStyle name="Comma 2 2 2 2 4 5" xfId="265" xr:uid="{2B019169-0472-4B0C-90A2-C0431073438A}"/>
    <cellStyle name="Comma 2 2 2 2 4 6" xfId="266" xr:uid="{0AB4922A-D052-42CC-A25F-A424B15A513E}"/>
    <cellStyle name="Comma 2 2 2 2 4 7" xfId="263" xr:uid="{5AF484E8-288C-40AC-A0BA-B86C0806E029}"/>
    <cellStyle name="Comma 2 2 2 2 4 8" xfId="283" xr:uid="{DF32500A-72C8-490A-B59D-6A5485237385}"/>
    <cellStyle name="Comma 2 2 2 2 4 9" xfId="298" xr:uid="{7DEB30E6-2D93-41E9-8452-81E8FF477D53}"/>
    <cellStyle name="Comma 2 2 2 2 40" xfId="515" xr:uid="{9DA06369-3B41-479C-A6A7-9C607D5ADC62}"/>
    <cellStyle name="Comma 2 2 2 2 41" xfId="478" xr:uid="{5584B06E-92AA-4D6C-961B-673808B9591B}"/>
    <cellStyle name="Comma 2 2 2 2 42" xfId="442" xr:uid="{03151DF2-09BF-4FD8-9B98-B255CA8D2E5F}"/>
    <cellStyle name="Comma 2 2 2 2 43" xfId="433" xr:uid="{0C5B9F77-1774-47B5-BAD0-1B30ED89B0A4}"/>
    <cellStyle name="Comma 2 2 2 2 44" xfId="473" xr:uid="{CF0C4168-8E65-44C0-9D82-94BA5DB6CEBC}"/>
    <cellStyle name="Comma 2 2 2 2 45" xfId="476" xr:uid="{6CE444AB-9CBC-4C0E-84DF-5BBF61C0093C}"/>
    <cellStyle name="Comma 2 2 2 2 46" xfId="521" xr:uid="{BE34D018-BA06-404B-989F-61DD1B2E2ACB}"/>
    <cellStyle name="Comma 2 2 2 2 47" xfId="443" xr:uid="{31940421-52A6-45AB-BDBA-03429536D38A}"/>
    <cellStyle name="Comma 2 2 2 2 48" xfId="550" xr:uid="{9D0A94E3-136C-44A2-AFB4-DD05AFA272D2}"/>
    <cellStyle name="Comma 2 2 2 2 49" xfId="506" xr:uid="{D77A9093-DB43-4B1E-83A8-1EECFC3643A4}"/>
    <cellStyle name="Comma 2 2 2 2 5" xfId="71" xr:uid="{6AD0CE2F-B904-4C2E-B982-DACDCCE5EB61}"/>
    <cellStyle name="Comma 2 2 2 2 50" xfId="440" xr:uid="{AAA05F27-9EF7-4CE7-BCEB-4972739791CC}"/>
    <cellStyle name="Comma 2 2 2 2 51" xfId="562" xr:uid="{96140B18-BCCB-42AB-83B4-9C731E491016}"/>
    <cellStyle name="Comma 2 2 2 2 52" xfId="491" xr:uid="{AB353C6D-26B5-4A45-895A-22DD69F63ADB}"/>
    <cellStyle name="Comma 2 2 2 2 53" xfId="447" xr:uid="{1E9E3826-098D-427F-BDDA-2349441703A6}"/>
    <cellStyle name="Comma 2 2 2 2 54" xfId="573" xr:uid="{0A8C593C-BC96-45B0-B241-2130B497E5D5}"/>
    <cellStyle name="Comma 2 2 2 2 55" xfId="571" xr:uid="{21312037-E7B0-4357-B497-BA67E8FC40A1}"/>
    <cellStyle name="Comma 2 2 2 2 56" xfId="465" xr:uid="{C40975E4-DD29-46FC-8709-3769AE173EAF}"/>
    <cellStyle name="Comma 2 2 2 2 57" xfId="430" xr:uid="{43E184D3-9207-4849-8079-32FC85FC23E7}"/>
    <cellStyle name="Comma 2 2 2 2 58" xfId="532" xr:uid="{778405FB-5EF9-4E93-8849-999B18DAF291}"/>
    <cellStyle name="Comma 2 2 2 2 59" xfId="568" xr:uid="{25BEB9B5-5A20-48CD-A7AC-80AD7E5ECF3C}"/>
    <cellStyle name="Comma 2 2 2 2 6" xfId="77" xr:uid="{39EDA63F-B34D-43A4-8071-D086FE2DD22A}"/>
    <cellStyle name="Comma 2 2 2 2 7" xfId="83" xr:uid="{0F37BFA4-88D7-45F2-8D72-A146DE8DDB5F}"/>
    <cellStyle name="Comma 2 2 2 2 8" xfId="89" xr:uid="{03011144-8F12-44D7-BEC9-5D85993F2236}"/>
    <cellStyle name="Comma 2 2 2 2 9" xfId="95" xr:uid="{F03BD458-2E98-40C4-B41B-EFF41D633D2C}"/>
    <cellStyle name="Comma 2 2 2 20" xfId="137" xr:uid="{1FB67049-5F62-4FD7-82E6-8FE7A9D48A2F}"/>
    <cellStyle name="Comma 2 2 2 21" xfId="142" xr:uid="{6953AB2F-75C4-4557-B820-F7D263E8D177}"/>
    <cellStyle name="Comma 2 2 2 22" xfId="147" xr:uid="{325C87DB-9072-426C-B757-8CCD96594526}"/>
    <cellStyle name="Comma 2 2 2 23" xfId="152" xr:uid="{51CDB739-D05C-4AE0-8D12-157559F0CF4C}"/>
    <cellStyle name="Comma 2 2 2 24" xfId="220" xr:uid="{B4203BF4-C6BE-4DD8-87FE-CDB297EBF4C0}"/>
    <cellStyle name="Comma 2 2 2 25" xfId="160" xr:uid="{DA83F1B6-3B89-42E6-98E9-4A0A514228F0}"/>
    <cellStyle name="Comma 2 2 2 26" xfId="224" xr:uid="{70F8A625-C6A3-4B02-82DE-399FA82C30F3}"/>
    <cellStyle name="Comma 2 2 2 27" xfId="234" xr:uid="{FF680F39-03C0-47AA-BECB-1584854C3D2F}"/>
    <cellStyle name="Comma 2 2 2 28" xfId="216" xr:uid="{2ACDBF97-DA59-4687-8CFC-24A435E3C35C}"/>
    <cellStyle name="Comma 2 2 2 29" xfId="232" xr:uid="{66E43F4D-DABA-4A3F-AC68-6B7771079860}"/>
    <cellStyle name="Comma 2 2 2 3" xfId="46" xr:uid="{6CC37110-FEFF-489C-8B2B-FB13AE6B9CC3}"/>
    <cellStyle name="Comma 2 2 2 3 10" xfId="109" xr:uid="{112D8365-7F48-4CF4-92CE-896AF15E64CC}"/>
    <cellStyle name="Comma 2 2 2 3 11" xfId="115" xr:uid="{1818FA83-AEFB-4986-B60D-9B335DE698BA}"/>
    <cellStyle name="Comma 2 2 2 3 12" xfId="120" xr:uid="{4B2AE516-BF82-474A-BC68-0E0E51C6B306}"/>
    <cellStyle name="Comma 2 2 2 3 13" xfId="125" xr:uid="{B92FDE72-07FC-4AA1-9D03-A87FBDB9DF12}"/>
    <cellStyle name="Comma 2 2 2 3 14" xfId="130" xr:uid="{46339ABC-3380-437B-9533-F6C2615FC35D}"/>
    <cellStyle name="Comma 2 2 2 3 15" xfId="135" xr:uid="{CA056771-37F4-43D1-9480-B51F3D5713A4}"/>
    <cellStyle name="Comma 2 2 2 3 16" xfId="140" xr:uid="{4967E882-98DD-478C-AE3B-1E61B6F5DDCA}"/>
    <cellStyle name="Comma 2 2 2 3 17" xfId="145" xr:uid="{C953CADE-0641-4722-8C3E-9BA186168831}"/>
    <cellStyle name="Comma 2 2 2 3 18" xfId="150" xr:uid="{7209BB78-FE20-4F8C-B81E-51CF837B284E}"/>
    <cellStyle name="Comma 2 2 2 3 19" xfId="156" xr:uid="{AED5316B-DC79-4A84-A364-14EC538F1A40}"/>
    <cellStyle name="Comma 2 2 2 3 2" xfId="57" xr:uid="{DB4DC2EE-C8AC-4F15-9D42-0C123D633D2D}"/>
    <cellStyle name="Comma 2 2 2 3 2 10" xfId="318" xr:uid="{780926FE-5229-40C5-8247-C0FEA60A5CD0}"/>
    <cellStyle name="Comma 2 2 2 3 2 11" xfId="331" xr:uid="{F00EF300-E3DC-4FD0-BB77-D3413755A075}"/>
    <cellStyle name="Comma 2 2 2 3 2 12" xfId="345" xr:uid="{73022691-5AD2-4EB2-B339-38D06588E3B1}"/>
    <cellStyle name="Comma 2 2 2 3 2 13" xfId="357" xr:uid="{93E02F16-E172-4467-BB01-E8F6DDE4E87E}"/>
    <cellStyle name="Comma 2 2 2 3 2 14" xfId="367" xr:uid="{9106ED82-D807-45BE-AB71-44364EAD72F3}"/>
    <cellStyle name="Comma 2 2 2 3 2 15" xfId="376" xr:uid="{85E17DC0-4EA5-4B6F-8E18-AEF24FE971A8}"/>
    <cellStyle name="Comma 2 2 2 3 2 2" xfId="175" xr:uid="{01BC9FEC-4614-44F2-B950-5733F8C94177}"/>
    <cellStyle name="Comma 2 2 2 3 2 2 10" xfId="236" xr:uid="{89302C4A-FC6D-40C3-AAF0-F312F4C1CC41}"/>
    <cellStyle name="Comma 2 2 2 3 2 2 11" xfId="204" xr:uid="{F79D8471-E26D-4464-9F78-82368754B3AA}"/>
    <cellStyle name="Comma 2 2 2 3 2 2 12" xfId="207" xr:uid="{DC4A1C3B-E229-42E9-AB83-426669F73167}"/>
    <cellStyle name="Comma 2 2 2 3 2 2 13" xfId="190" xr:uid="{8CE5CBE4-1969-415C-8D91-5807677827F4}"/>
    <cellStyle name="Comma 2 2 2 3 2 2 14" xfId="243" xr:uid="{9C70696B-E32F-4A00-A940-21B121A815E2}"/>
    <cellStyle name="Comma 2 2 2 3 2 2 15" xfId="371" xr:uid="{AAD64B5B-2E15-40B3-B24D-B2CAE4F50CD8}"/>
    <cellStyle name="Comma 2 2 2 3 2 2 2" xfId="183" xr:uid="{3C471C18-9FE6-4C98-9CC0-8E74EA8787B7}"/>
    <cellStyle name="Comma 2 2 2 3 2 2 3" xfId="174" xr:uid="{C6A3C7D2-88C1-492F-84F1-599FE95F63F2}"/>
    <cellStyle name="Comma 2 2 2 3 2 2 4" xfId="214" xr:uid="{2BF76999-CB14-4185-BB14-A9F35FFB885C}"/>
    <cellStyle name="Comma 2 2 2 3 2 2 5" xfId="242" xr:uid="{F1E19BBD-7AC0-4D38-AF81-D57CA00ABC24}"/>
    <cellStyle name="Comma 2 2 2 3 2 2 6" xfId="169" xr:uid="{D4792614-EE72-4898-8A1C-196221E7C4F6}"/>
    <cellStyle name="Comma 2 2 2 3 2 2 7" xfId="239" xr:uid="{FE474165-437E-4463-95A6-CEACDAFDE0B1}"/>
    <cellStyle name="Comma 2 2 2 3 2 2 8" xfId="194" xr:uid="{2D591AB3-E7E2-4BFC-8EEF-ECFDB49343D9}"/>
    <cellStyle name="Comma 2 2 2 3 2 2 9" xfId="254" xr:uid="{CC9574BD-7FF2-474C-A3A1-36680A96C6BD}"/>
    <cellStyle name="Comma 2 2 2 3 2 3" xfId="229" xr:uid="{191C0593-6C06-4754-8916-494A84681596}"/>
    <cellStyle name="Comma 2 2 2 3 2 4" xfId="240" xr:uid="{5AC62CA7-E731-4E71-A909-AA941267E8BF}"/>
    <cellStyle name="Comma 2 2 2 3 2 5" xfId="188" xr:uid="{A02BB10C-8F67-4EAC-8D53-6E3DA3CD7732}"/>
    <cellStyle name="Comma 2 2 2 3 2 6" xfId="252" xr:uid="{BFD53839-E382-4D05-832B-C075EF257EC9}"/>
    <cellStyle name="Comma 2 2 2 3 2 7" xfId="273" xr:uid="{92040A81-649D-4A30-9F4C-1FBFE6484FBD}"/>
    <cellStyle name="Comma 2 2 2 3 2 8" xfId="288" xr:uid="{4D50800F-BE83-4EF5-9CAB-7B453D75B246}"/>
    <cellStyle name="Comma 2 2 2 3 2 9" xfId="303" xr:uid="{B3CA4749-1279-448F-9E35-1545A7B1F9C6}"/>
    <cellStyle name="Comma 2 2 2 3 20" xfId="164" xr:uid="{37CC4AEE-E3C0-4681-A63D-ACECFF69256F}"/>
    <cellStyle name="Comma 2 2 2 3 21" xfId="203" xr:uid="{DAAE57E5-EF1C-4C82-A8D3-7F0DFDB5544D}"/>
    <cellStyle name="Comma 2 2 2 3 22" xfId="213" xr:uid="{226BBF3F-1430-4331-81F4-535B272592B7}"/>
    <cellStyle name="Comma 2 2 2 3 23" xfId="247" xr:uid="{58F71DD9-58E0-4E6F-AFDE-7C96838E905B}"/>
    <cellStyle name="Comma 2 2 2 3 24" xfId="267" xr:uid="{18BC47E6-4566-4DF4-8A3E-58CF4E989E5F}"/>
    <cellStyle name="Comma 2 2 2 3 25" xfId="192" xr:uid="{9EE3C004-3B31-4C6C-9C72-29A371DCEEAC}"/>
    <cellStyle name="Comma 2 2 2 3 26" xfId="233" xr:uid="{53D82264-9137-46B5-AA0D-B9F13FDFDED6}"/>
    <cellStyle name="Comma 2 2 2 3 27" xfId="221" xr:uid="{01DC19FB-3E6D-434A-BAA3-E4E78931EFBC}"/>
    <cellStyle name="Comma 2 2 2 3 28" xfId="250" xr:uid="{1C79DFFC-49A4-4705-997C-D62F13455135}"/>
    <cellStyle name="Comma 2 2 2 3 29" xfId="271" xr:uid="{66DA9B5A-9DA2-408E-8748-FC0DBEECDD9C}"/>
    <cellStyle name="Comma 2 2 2 3 3" xfId="67" xr:uid="{CC6B70E1-653D-432D-8B53-74F3FCE2197D}"/>
    <cellStyle name="Comma 2 2 2 3 30" xfId="287" xr:uid="{2DBD90B4-9624-4810-985D-F305F5263371}"/>
    <cellStyle name="Comma 2 2 2 3 31" xfId="302" xr:uid="{AA889774-ACD4-41C6-BEC4-CCD8F46BC638}"/>
    <cellStyle name="Comma 2 2 2 3 32" xfId="316" xr:uid="{E3784B4C-DA7D-4C7D-9F40-0E5E7E6609A1}"/>
    <cellStyle name="Comma 2 2 2 3 33" xfId="402" xr:uid="{FBDFF3AE-E874-4B99-9A4E-DF667361C495}"/>
    <cellStyle name="Comma 2 2 2 3 4" xfId="73" xr:uid="{32E964EA-270A-4207-ADD2-BE90045B2BB7}"/>
    <cellStyle name="Comma 2 2 2 3 5" xfId="79" xr:uid="{7E8D14C9-89B6-4C60-82AF-2F733A86D16D}"/>
    <cellStyle name="Comma 2 2 2 3 6" xfId="85" xr:uid="{8AA3A1B5-4EF2-437C-A5DA-446BE422F0E5}"/>
    <cellStyle name="Comma 2 2 2 3 7" xfId="91" xr:uid="{39DC0E4E-8B12-4FCF-9465-0A50AD266CD5}"/>
    <cellStyle name="Comma 2 2 2 3 8" xfId="97" xr:uid="{08FEBEDB-278D-4A50-B342-69770CE51ACB}"/>
    <cellStyle name="Comma 2 2 2 3 9" xfId="103" xr:uid="{D99800EB-4C12-47C3-A1FE-3A54EC1D9D10}"/>
    <cellStyle name="Comma 2 2 2 30" xfId="226" xr:uid="{8B36B45F-2B7D-45EC-9E20-F823AD385E8A}"/>
    <cellStyle name="Comma 2 2 2 31" xfId="227" xr:uid="{1C858BFF-7B38-4972-985A-24447F618E85}"/>
    <cellStyle name="Comma 2 2 2 32" xfId="222" xr:uid="{EB9BF642-097B-4C4B-B022-357241988862}"/>
    <cellStyle name="Comma 2 2 2 33" xfId="246" xr:uid="{FB5015EA-A8A4-4240-B448-0F286F7F43C6}"/>
    <cellStyle name="Comma 2 2 2 34" xfId="399" xr:uid="{781C1DCB-8E66-406F-AD1F-7667FB802669}"/>
    <cellStyle name="Comma 2 2 2 35" xfId="404" xr:uid="{50E0D8A7-3154-425C-A5B3-E049C20B287A}"/>
    <cellStyle name="Comma 2 2 2 36" xfId="408" xr:uid="{A686DE37-61F9-4DCD-A38F-3B25C976BA27}"/>
    <cellStyle name="Comma 2 2 2 37" xfId="419" xr:uid="{B602162B-5BD3-4B0E-97E8-8EDA0AD0CE3F}"/>
    <cellStyle name="Comma 2 2 2 38" xfId="468" xr:uid="{EEC53DE5-06AB-4508-B411-758FDDBEFF83}"/>
    <cellStyle name="Comma 2 2 2 39" xfId="482" xr:uid="{03011492-CF69-4F5A-8170-E3805E30C97F}"/>
    <cellStyle name="Comma 2 2 2 4" xfId="39" xr:uid="{9280F419-A93B-4B21-82FA-C0CCF4E263A7}"/>
    <cellStyle name="Comma 2 2 2 4 10" xfId="350" xr:uid="{E4945C72-EE3C-4009-9794-3A552A317813}"/>
    <cellStyle name="Comma 2 2 2 4 11" xfId="361" xr:uid="{0D28A844-A91F-4CB2-85B4-542A54E5860A}"/>
    <cellStyle name="Comma 2 2 2 4 12" xfId="372" xr:uid="{76F6DE84-66BF-446F-87E1-1397C95A9335}"/>
    <cellStyle name="Comma 2 2 2 4 13" xfId="380" xr:uid="{73DA1B7F-B59D-4D7B-8A8F-442FDE788D90}"/>
    <cellStyle name="Comma 2 2 2 4 14" xfId="389" xr:uid="{80BBA005-93A8-4070-88A3-982AFC17ED77}"/>
    <cellStyle name="Comma 2 2 2 4 15" xfId="397" xr:uid="{F8566784-FF57-402F-B4D8-0D4E5A6A91C1}"/>
    <cellStyle name="Comma 2 2 2 4 2" xfId="166" xr:uid="{17B2F822-550C-457D-9158-62011C5F0179}"/>
    <cellStyle name="Comma 2 2 2 4 2 10" xfId="362" xr:uid="{CBAE6071-2611-477D-8C7A-C58F928AD33C}"/>
    <cellStyle name="Comma 2 2 2 4 2 11" xfId="373" xr:uid="{E3232B01-582F-4532-B9CE-B3EFC48F3ED4}"/>
    <cellStyle name="Comma 2 2 2 4 2 12" xfId="381" xr:uid="{733EA202-B9F5-4CB2-BB9B-453D1050664E}"/>
    <cellStyle name="Comma 2 2 2 4 2 13" xfId="390" xr:uid="{BC168307-B6B6-4274-90AC-8788DA52D372}"/>
    <cellStyle name="Comma 2 2 2 4 2 14" xfId="394" xr:uid="{AA6F964A-51FE-4A0F-BA11-BE34DB915AED}"/>
    <cellStyle name="Comma 2 2 2 4 2 15" xfId="388" xr:uid="{1F64FD8D-4CB3-4DA9-9C2D-14841B27D173}"/>
    <cellStyle name="Comma 2 2 2 4 2 2" xfId="168" xr:uid="{66254696-C70E-44E7-98CE-07FB290B989A}"/>
    <cellStyle name="Comma 2 2 2 4 2 3" xfId="260" xr:uid="{C002C941-DBE3-4364-8727-01B62343054D}"/>
    <cellStyle name="Comma 2 2 2 4 2 4" xfId="280" xr:uid="{D6841003-AA12-4C51-8EC5-96B454A123FB}"/>
    <cellStyle name="Comma 2 2 2 4 2 5" xfId="295" xr:uid="{534277DC-7CD7-42F5-BAEE-E33ABA113D13}"/>
    <cellStyle name="Comma 2 2 2 4 2 6" xfId="309" xr:uid="{E09E268A-167D-47F7-8A48-B1FF91AC85EC}"/>
    <cellStyle name="Comma 2 2 2 4 2 7" xfId="324" xr:uid="{A613A4F3-A355-4198-ABFD-4B7A89F99E66}"/>
    <cellStyle name="Comma 2 2 2 4 2 8" xfId="337" xr:uid="{0953DF62-6D30-49F9-8BAF-E622EF39BA7E}"/>
    <cellStyle name="Comma 2 2 2 4 2 9" xfId="351" xr:uid="{F9B69C6D-B717-4425-B1F0-314741CC7354}"/>
    <cellStyle name="Comma 2 2 2 4 3" xfId="186" xr:uid="{AB65BA0C-EEFA-44E7-8CD1-615EAA31B42B}"/>
    <cellStyle name="Comma 2 2 2 4 4" xfId="259" xr:uid="{1943CFFD-2C5B-40F3-AD9E-E513A02CBF20}"/>
    <cellStyle name="Comma 2 2 2 4 5" xfId="279" xr:uid="{AEB768B1-7B6E-49FB-AFD3-A77BB22AB6DD}"/>
    <cellStyle name="Comma 2 2 2 4 6" xfId="294" xr:uid="{431C86CF-CB97-4474-9BC3-6417541129E6}"/>
    <cellStyle name="Comma 2 2 2 4 7" xfId="308" xr:uid="{1AD99D7C-1F9C-4465-8DEE-50FFF8E02773}"/>
    <cellStyle name="Comma 2 2 2 4 8" xfId="323" xr:uid="{7A595239-A4AE-4A42-A2E6-E8FD3510A46E}"/>
    <cellStyle name="Comma 2 2 2 4 9" xfId="336" xr:uid="{9ED08943-9DCC-48D4-A13F-2D032D018408}"/>
    <cellStyle name="Comma 2 2 2 40" xfId="450" xr:uid="{18D2D500-D25E-4FA6-BB9D-32C09785DF92}"/>
    <cellStyle name="Comma 2 2 2 41" xfId="519" xr:uid="{9FE80DB4-6559-4555-9BBE-5DFBCC9BAB7D}"/>
    <cellStyle name="Comma 2 2 2 42" xfId="534" xr:uid="{662654DB-FDC0-4742-96C7-B96195C6069B}"/>
    <cellStyle name="Comma 2 2 2 43" xfId="434" xr:uid="{E8D4426C-A56D-439E-8094-B3FFC526F1FA}"/>
    <cellStyle name="Comma 2 2 2 44" xfId="462" xr:uid="{28E66D13-0CAC-409F-B43B-AEA76D0EBC02}"/>
    <cellStyle name="Comma 2 2 2 45" xfId="542" xr:uid="{DB0784A9-D12C-4257-94BE-5A088DEAC9E0}"/>
    <cellStyle name="Comma 2 2 2 46" xfId="483" xr:uid="{C74A9906-83CB-4D50-B102-A1B7F3B4108E}"/>
    <cellStyle name="Comma 2 2 2 47" xfId="537" xr:uid="{FBA9379E-BD69-431D-83A9-F4F318978E31}"/>
    <cellStyle name="Comma 2 2 2 48" xfId="567" xr:uid="{DB734110-2651-40C6-BB11-F07F1C1C7882}"/>
    <cellStyle name="Comma 2 2 2 49" xfId="486" xr:uid="{94081E87-0DFE-4043-A5B1-F9E76E3C85BE}"/>
    <cellStyle name="Comma 2 2 2 5" xfId="45" xr:uid="{E165985D-8B0C-437D-A9DF-CC33ABE1DF58}"/>
    <cellStyle name="Comma 2 2 2 50" xfId="561" xr:uid="{9790EAF3-C09D-424D-958F-3A81DF8D91CE}"/>
    <cellStyle name="Comma 2 2 2 51" xfId="495" xr:uid="{574E75D7-4419-4397-9E16-A62837ECB489}"/>
    <cellStyle name="Comma 2 2 2 52" xfId="554" xr:uid="{2882448B-70E2-45B9-9193-F7990F35FF66}"/>
    <cellStyle name="Comma 2 2 2 53" xfId="531" xr:uid="{49239051-66B1-48A0-94F4-E8F459F68067}"/>
    <cellStyle name="Comma 2 2 2 54" xfId="505" xr:uid="{867C3C1C-D657-4144-AC66-9AF197CD1F37}"/>
    <cellStyle name="Comma 2 2 2 55" xfId="560" xr:uid="{C965852A-5124-49A1-B18C-ADF193BF5A28}"/>
    <cellStyle name="Comma 2 2 2 56" xfId="578" xr:uid="{713E49F1-BCFA-4843-A959-9691E1DA525A}"/>
    <cellStyle name="Comma 2 2 2 57" xfId="581" xr:uid="{AF721380-5D9B-450F-8AC6-43A5EE1B0C97}"/>
    <cellStyle name="Comma 2 2 2 58" xfId="584" xr:uid="{4BB791C7-2DED-4394-834A-058E99FE4E18}"/>
    <cellStyle name="Comma 2 2 2 59" xfId="587" xr:uid="{5DA170DA-1B01-4298-993C-2CCD2E77037D}"/>
    <cellStyle name="Comma 2 2 2 6" xfId="61" xr:uid="{8A2DC8D0-0601-4F6D-B06F-834CB4783E5A}"/>
    <cellStyle name="Comma 2 2 2 7" xfId="63" xr:uid="{4B11C004-030D-4B82-B6E0-36E25EC9F2DA}"/>
    <cellStyle name="Comma 2 2 2 8" xfId="69" xr:uid="{F50F25A7-76B2-4373-949C-FA92A89218F6}"/>
    <cellStyle name="Comma 2 2 2 9" xfId="75" xr:uid="{656D2505-CD13-4CE6-BAE4-48A068A8F381}"/>
    <cellStyle name="Comma 2 2 20" xfId="88" xr:uid="{F68A1D38-14B2-4CA2-B6A3-62833D055959}"/>
    <cellStyle name="Comma 2 2 21" xfId="94" xr:uid="{BF979E66-1B13-41D6-A295-9861642D43BD}"/>
    <cellStyle name="Comma 2 2 22" xfId="100" xr:uid="{0226696A-5F4A-4A09-9B03-5E57C8BA0A69}"/>
    <cellStyle name="Comma 2 2 23" xfId="106" xr:uid="{7C260FA7-5A39-4D0B-8499-408AC74978EF}"/>
    <cellStyle name="Comma 2 2 24" xfId="112" xr:uid="{348F54F2-BB2E-4E5C-9E9B-4A2720D2A369}"/>
    <cellStyle name="Comma 2 2 25" xfId="171" xr:uid="{70528505-2425-4D96-8047-0777D6E854E3}"/>
    <cellStyle name="Comma 2 2 26" xfId="153" xr:uid="{D7F3296A-03C5-40D7-95AB-341399D95FA3}"/>
    <cellStyle name="Comma 2 2 27" xfId="161" xr:uid="{08D871ED-2950-4B4D-BBD4-AD16E53313B0}"/>
    <cellStyle name="Comma 2 2 28" xfId="170" xr:uid="{9C3BF19F-480D-4F67-BC0B-82C609E76EB3}"/>
    <cellStyle name="Comma 2 2 29" xfId="244" xr:uid="{F0CED143-9731-4A3C-9F43-9717019D388C}"/>
    <cellStyle name="Comma 2 2 3" xfId="47" xr:uid="{41D016CE-3D33-42BA-939A-390DD126B12A}"/>
    <cellStyle name="Comma 2 2 3 10" xfId="104" xr:uid="{9A856CEA-F1AB-45E5-B991-930EDA92F701}"/>
    <cellStyle name="Comma 2 2 3 11" xfId="110" xr:uid="{1AF34483-526D-435A-8C70-D1BD83F1426F}"/>
    <cellStyle name="Comma 2 2 3 12" xfId="116" xr:uid="{69FBD06A-65E6-4FAC-985F-4659F2C8C6F4}"/>
    <cellStyle name="Comma 2 2 3 13" xfId="121" xr:uid="{5935ABAB-775D-4A0B-B5DF-2CFCEAB20281}"/>
    <cellStyle name="Comma 2 2 3 14" xfId="126" xr:uid="{952A9F49-DA5B-4C23-AAA1-FDA1D2F06B04}"/>
    <cellStyle name="Comma 2 2 3 15" xfId="131" xr:uid="{290F1E2A-1B3D-4077-B9C9-4E83310F22B7}"/>
    <cellStyle name="Comma 2 2 3 16" xfId="136" xr:uid="{B8160937-301B-4B75-B6BE-508D89A36F49}"/>
    <cellStyle name="Comma 2 2 3 17" xfId="141" xr:uid="{1D824E9F-BFAD-46D3-84E2-B518053F9774}"/>
    <cellStyle name="Comma 2 2 3 18" xfId="146" xr:uid="{331595BA-5C44-413D-8BFF-EC6265711987}"/>
    <cellStyle name="Comma 2 2 3 19" xfId="151" xr:uid="{C5E12D42-C190-4D7E-B05E-6D362D8FF2C5}"/>
    <cellStyle name="Comma 2 2 3 2" xfId="52" xr:uid="{C9797DB8-46F9-4DC3-A895-E1112037D53D}"/>
    <cellStyle name="Comma 2 2 3 2 10" xfId="293" xr:uid="{C20BF0C0-23A6-4EFA-8EA6-CBDCE3DCDB36}"/>
    <cellStyle name="Comma 2 2 3 2 11" xfId="307" xr:uid="{189CA7AD-C40B-4AFE-948B-F1BFD8157D05}"/>
    <cellStyle name="Comma 2 2 3 2 12" xfId="322" xr:uid="{46DBA08D-0BDF-4546-845A-965C7A5C9A0A}"/>
    <cellStyle name="Comma 2 2 3 2 13" xfId="335" xr:uid="{310134DE-F541-45CE-8473-BEECCC35BAA9}"/>
    <cellStyle name="Comma 2 2 3 2 14" xfId="349" xr:uid="{D7A9DBDC-0350-46DC-87BF-93B93108F082}"/>
    <cellStyle name="Comma 2 2 3 2 15" xfId="200" xr:uid="{435BA753-892D-4C16-A1AD-8ED09E78762C}"/>
    <cellStyle name="Comma 2 2 3 2 2" xfId="176" xr:uid="{E53586BD-0C0B-4BC5-ABA6-8B113C270A5F}"/>
    <cellStyle name="Comma 2 2 3 2 2 10" xfId="281" xr:uid="{946E88F9-E31B-4795-AB8F-6CDC6BB37477}"/>
    <cellStyle name="Comma 2 2 3 2 2 11" xfId="296" xr:uid="{E959B386-E043-4823-9C0C-35F16FB01FB0}"/>
    <cellStyle name="Comma 2 2 3 2 2 12" xfId="310" xr:uid="{F7E995EB-39EA-4878-B6DB-BB05E4DFD956}"/>
    <cellStyle name="Comma 2 2 3 2 2 13" xfId="325" xr:uid="{88036FA5-7731-41BC-89F3-56DB536A3CF5}"/>
    <cellStyle name="Comma 2 2 3 2 2 14" xfId="338" xr:uid="{BC7F0DBF-F17B-4C96-A0F5-41BC5F80B94F}"/>
    <cellStyle name="Comma 2 2 3 2 2 15" xfId="401" xr:uid="{08C36DFE-D496-4034-917C-F12C0DCD23A3}"/>
    <cellStyle name="Comma 2 2 3 2 2 2" xfId="180" xr:uid="{719E5645-4D4D-4E14-AB64-A122E7A03FBC}"/>
    <cellStyle name="Comma 2 2 3 2 2 3" xfId="193" xr:uid="{CDCA43CA-3F3F-41A6-B053-2BFDE9169FC0}"/>
    <cellStyle name="Comma 2 2 3 2 2 4" xfId="228" xr:uid="{0D2BE789-52C9-402E-B52A-AD45BB5AEC4C}"/>
    <cellStyle name="Comma 2 2 3 2 2 5" xfId="245" xr:uid="{9C2D95E7-79A3-45D5-B911-9D215EF9CFCC}"/>
    <cellStyle name="Comma 2 2 3 2 2 6" xfId="177" xr:uid="{EB3E35B6-F365-4C50-ADFF-EEFA8CBEC4AB}"/>
    <cellStyle name="Comma 2 2 3 2 2 7" xfId="198" xr:uid="{9D8151AF-6A92-49F1-B2D4-28BAD3D4D0F3}"/>
    <cellStyle name="Comma 2 2 3 2 2 8" xfId="201" xr:uid="{C85BEE8A-7295-4500-B6A4-617C915CF904}"/>
    <cellStyle name="Comma 2 2 3 2 2 9" xfId="223" xr:uid="{F5766D2C-CF8A-4A6D-8B8F-1035D199A569}"/>
    <cellStyle name="Comma 2 2 3 2 3" xfId="225" xr:uid="{6DA8A633-C8CC-4B11-B323-2CC6D63A33FE}"/>
    <cellStyle name="Comma 2 2 3 2 4" xfId="231" xr:uid="{D9B5AEB0-37C9-4411-863B-BE1B9DD394C6}"/>
    <cellStyle name="Comma 2 2 3 2 5" xfId="230" xr:uid="{F058EE59-6098-4412-8126-B6E2B29E1BC9}"/>
    <cellStyle name="Comma 2 2 3 2 6" xfId="235" xr:uid="{F7CB3A95-EC3D-47F4-8E06-7C8220E4448C}"/>
    <cellStyle name="Comma 2 2 3 2 7" xfId="210" xr:uid="{32E69700-2884-4D9B-8DF1-F71A47023900}"/>
    <cellStyle name="Comma 2 2 3 2 8" xfId="258" xr:uid="{E85DDEB3-8B39-48B3-813A-85A7F70D93D9}"/>
    <cellStyle name="Comma 2 2 3 2 9" xfId="278" xr:uid="{0C7BE2CC-ADF5-44EA-8AED-8B424631EF1A}"/>
    <cellStyle name="Comma 2 2 3 20" xfId="157" xr:uid="{0C0550E5-D800-4936-A09F-677189DF1D7B}"/>
    <cellStyle name="Comma 2 2 3 21" xfId="172" xr:uid="{99375092-E7A8-4780-B75F-0A0EDF196C03}"/>
    <cellStyle name="Comma 2 2 3 22" xfId="249" xr:uid="{D32586BA-CE91-4F14-BDAB-04000387D94E}"/>
    <cellStyle name="Comma 2 2 3 23" xfId="269" xr:uid="{1D0BEE76-38F6-4646-9E18-87709C90928B}"/>
    <cellStyle name="Comma 2 2 3 24" xfId="285" xr:uid="{FB66D4A2-E513-4AC6-9D08-093584C03245}"/>
    <cellStyle name="Comma 2 2 3 25" xfId="300" xr:uid="{806A008E-B6DE-4287-B0AE-D93AB0336C96}"/>
    <cellStyle name="Comma 2 2 3 26" xfId="314" xr:uid="{1A5EC0C2-677D-46DC-B131-F68E6B7C531C}"/>
    <cellStyle name="Comma 2 2 3 27" xfId="329" xr:uid="{E70734C1-E054-41F7-A038-F4F317E951B4}"/>
    <cellStyle name="Comma 2 2 3 28" xfId="342" xr:uid="{E3164AEB-FCF6-4826-B2CF-8EEA9423907A}"/>
    <cellStyle name="Comma 2 2 3 29" xfId="355" xr:uid="{D13CCA1A-F030-4C57-B5B0-476EE7633B55}"/>
    <cellStyle name="Comma 2 2 3 3" xfId="62" xr:uid="{6EAF60FE-2398-4575-8237-034CB96F11D8}"/>
    <cellStyle name="Comma 2 2 3 30" xfId="366" xr:uid="{EB6A992F-4ED2-40D2-A837-66DD64349229}"/>
    <cellStyle name="Comma 2 2 3 31" xfId="375" xr:uid="{3733937C-AE7E-417A-B780-6531B8E7E4A0}"/>
    <cellStyle name="Comma 2 2 3 32" xfId="384" xr:uid="{457A1273-84A9-4875-8286-2EAA40144F62}"/>
    <cellStyle name="Comma 2 2 3 33" xfId="393" xr:uid="{343B8B3B-6EC6-4C8C-86C9-9E80C5D81056}"/>
    <cellStyle name="Comma 2 2 3 4" xfId="68" xr:uid="{E735BA07-B2CE-43AC-90E7-C017CABCE4E3}"/>
    <cellStyle name="Comma 2 2 3 5" xfId="74" xr:uid="{4CB32955-41D8-4361-8310-4A5305D21540}"/>
    <cellStyle name="Comma 2 2 3 6" xfId="80" xr:uid="{9E0312B2-7991-4F3D-A7E2-B5085DBDC66A}"/>
    <cellStyle name="Comma 2 2 3 7" xfId="86" xr:uid="{7CF74FB7-470D-4DCB-9E2C-C054BB061105}"/>
    <cellStyle name="Comma 2 2 3 8" xfId="92" xr:uid="{B0231B1D-DA49-471D-AFE7-E9882E50E2E7}"/>
    <cellStyle name="Comma 2 2 3 9" xfId="98" xr:uid="{D74DBC94-EAB6-47E0-95EF-D5FBE66CC5B8}"/>
    <cellStyle name="Comma 2 2 30" xfId="179" xr:uid="{507D7D4F-1E22-46B6-9E9D-908E6F9A2BEF}"/>
    <cellStyle name="Comma 2 2 31" xfId="219" xr:uid="{1DAF3F8D-8A84-4169-8E0C-BD0546DE5701}"/>
    <cellStyle name="Comma 2 2 32" xfId="257" xr:uid="{91A4A2B6-90B3-47C4-A8ED-D5B91B43A00B}"/>
    <cellStyle name="Comma 2 2 33" xfId="277" xr:uid="{BEAF401B-7EDF-4E3C-9DCF-20744904440F}"/>
    <cellStyle name="Comma 2 2 34" xfId="292" xr:uid="{AD430515-4D72-494A-B0F4-188590DAA590}"/>
    <cellStyle name="Comma 2 2 35" xfId="400" xr:uid="{50EF1E70-E68B-4DC7-853C-13F4979A6F79}"/>
    <cellStyle name="Comma 2 2 36" xfId="403" xr:uid="{954CF571-DC16-421D-B7EC-10B9A77E4081}"/>
    <cellStyle name="Comma 2 2 37" xfId="409" xr:uid="{44396EF9-5D7F-4097-9D05-84C721DB5EFC}"/>
    <cellStyle name="Comma 2 2 38" xfId="418" xr:uid="{9C37C4FF-CD4F-44A5-98D9-73579456C6E8}"/>
    <cellStyle name="Comma 2 2 39" xfId="496" xr:uid="{153DAA6D-E040-4CCC-9421-FD40865CF3A6}"/>
    <cellStyle name="Comma 2 2 4" xfId="53" xr:uid="{77D27BE8-E54F-4734-A58B-CBEAF71F1A44}"/>
    <cellStyle name="Comma 2 2 40" xfId="507" xr:uid="{F493791F-00F0-490B-B1FF-58E4C0652BEC}"/>
    <cellStyle name="Comma 2 2 41" xfId="427" xr:uid="{62D7EC03-FB55-447E-829B-BC5B3F8CD4CF}"/>
    <cellStyle name="Comma 2 2 42" xfId="431" xr:uid="{2BD3FFC2-D810-4F95-BF0A-F8EA1AE5CB0A}"/>
    <cellStyle name="Comma 2 2 43" xfId="502" xr:uid="{F3694A2E-2E0E-40EE-805A-811DC868C999}"/>
    <cellStyle name="Comma 2 2 44" xfId="488" xr:uid="{6DCE9ECC-2C91-4DD1-9CFC-0845CB95839A}"/>
    <cellStyle name="Comma 2 2 45" xfId="494" xr:uid="{3EC5835A-2B2F-4C8F-A9AE-D5F769AFE10E}"/>
    <cellStyle name="Comma 2 2 46" xfId="454" xr:uid="{004A5D3A-13B8-4AF8-867D-6B5BDCF2E097}"/>
    <cellStyle name="Comma 2 2 47" xfId="545" xr:uid="{5E71D502-E115-4219-B827-9FC4E6E272A2}"/>
    <cellStyle name="Comma 2 2 48" xfId="406" xr:uid="{26EA6A47-4CCA-42A3-AE98-2D98B8D09940}"/>
    <cellStyle name="Comma 2 2 49" xfId="467" xr:uid="{A089245B-6154-44AE-BD61-9CC72DDD0AAE}"/>
    <cellStyle name="Comma 2 2 5" xfId="49" xr:uid="{C9EFB367-E50B-4BE4-9387-DF5EAB2710FE}"/>
    <cellStyle name="Comma 2 2 5 10" xfId="346" xr:uid="{7AF6D48F-B73A-4BD6-8509-1BBB49B73EC6}"/>
    <cellStyle name="Comma 2 2 5 11" xfId="358" xr:uid="{722C2CE9-E810-491B-BD4E-1E59E025E251}"/>
    <cellStyle name="Comma 2 2 5 12" xfId="368" xr:uid="{24B3BFAC-B3B7-4B9D-B1C5-7F92622F5C09}"/>
    <cellStyle name="Comma 2 2 5 13" xfId="377" xr:uid="{C9296937-2702-47F5-A609-086311D2532F}"/>
    <cellStyle name="Comma 2 2 5 14" xfId="385" xr:uid="{E26BC0BD-EC29-470B-A088-EE358310A54A}"/>
    <cellStyle name="Comma 2 2 5 15" xfId="383" xr:uid="{70FB13BC-628C-4D12-8C80-0741849B5CB4}"/>
    <cellStyle name="Comma 2 2 5 2" xfId="159" xr:uid="{D463ACB1-EFF6-48FA-B589-155817E0C023}"/>
    <cellStyle name="Comma 2 2 5 2 10" xfId="347" xr:uid="{1DDDE0C4-11BA-4194-A02C-4AB716DB3215}"/>
    <cellStyle name="Comma 2 2 5 2 11" xfId="359" xr:uid="{504B818B-6FBD-4ABD-A39A-1E8CE34286BD}"/>
    <cellStyle name="Comma 2 2 5 2 12" xfId="369" xr:uid="{CFC56789-462D-4D78-96BD-F590B75D68A8}"/>
    <cellStyle name="Comma 2 2 5 2 13" xfId="378" xr:uid="{D10F6BAE-AB19-477B-90D3-76195D3FC914}"/>
    <cellStyle name="Comma 2 2 5 2 14" xfId="386" xr:uid="{EB109D15-F6F5-4165-B3C2-5DC2D76C626E}"/>
    <cellStyle name="Comma 2 2 5 2 15" xfId="392" xr:uid="{C1C357F1-6CC6-4F5F-91DF-0E7130D9ECC5}"/>
    <cellStyle name="Comma 2 2 5 2 2" xfId="178" xr:uid="{9D0C0771-7203-4E40-BE7D-E2D43B435380}"/>
    <cellStyle name="Comma 2 2 5 2 3" xfId="211" xr:uid="{F63B68A0-A7C6-42C2-BD06-DF9B192F8478}"/>
    <cellStyle name="Comma 2 2 5 2 4" xfId="255" xr:uid="{793EA9BC-E678-434E-8427-64D2132A08F6}"/>
    <cellStyle name="Comma 2 2 5 2 5" xfId="275" xr:uid="{E87A311E-7336-4A67-9F59-6C18804A1B25}"/>
    <cellStyle name="Comma 2 2 5 2 6" xfId="290" xr:uid="{91BE0F87-71AE-4CA1-8C5E-CA464F1F75C4}"/>
    <cellStyle name="Comma 2 2 5 2 7" xfId="305" xr:uid="{168A3511-61D9-431C-90D3-579BDF934C6F}"/>
    <cellStyle name="Comma 2 2 5 2 8" xfId="320" xr:uid="{3A901750-B8A2-4BA0-BFDC-5D2222996BFF}"/>
    <cellStyle name="Comma 2 2 5 2 9" xfId="333" xr:uid="{6E233827-A80F-4396-BC28-90C9334F34A3}"/>
    <cellStyle name="Comma 2 2 5 3" xfId="184" xr:uid="{C01B4853-62C9-45AA-8A7F-B48CC2397A5E}"/>
    <cellStyle name="Comma 2 2 5 4" xfId="253" xr:uid="{89AA62A1-9238-4AF6-9FDD-423A79E2EA46}"/>
    <cellStyle name="Comma 2 2 5 5" xfId="274" xr:uid="{B39F878F-13BA-4F04-868A-5EA9BC7F5BF6}"/>
    <cellStyle name="Comma 2 2 5 6" xfId="289" xr:uid="{AB00E4F0-AF8F-4CF9-AFAD-CA26FF680093}"/>
    <cellStyle name="Comma 2 2 5 7" xfId="304" xr:uid="{ABBA529D-74A7-4CD7-B8C6-6007C2FF174E}"/>
    <cellStyle name="Comma 2 2 5 8" xfId="319" xr:uid="{92EF777B-2514-4B69-BB6E-4A6DA43CDB09}"/>
    <cellStyle name="Comma 2 2 5 9" xfId="332" xr:uid="{C20F56CF-F233-4FC1-B3A8-FBB300CDE210}"/>
    <cellStyle name="Comma 2 2 50" xfId="437" xr:uid="{75628F7B-C708-404D-B9DB-587D6F1BA24A}"/>
    <cellStyle name="Comma 2 2 51" xfId="472" xr:uid="{00DF1A0B-5CA9-4D3A-9279-24EB261BA90B}"/>
    <cellStyle name="Comma 2 2 52" xfId="445" xr:uid="{86BCD39C-6E31-4331-9922-43E33A304C8C}"/>
    <cellStyle name="Comma 2 2 53" xfId="570" xr:uid="{BE7F9D8F-3448-4E2A-BB56-F14D71F8569C}"/>
    <cellStyle name="Comma 2 2 54" xfId="461" xr:uid="{626569A8-3B6A-4422-99A3-ADDAE8575EB6}"/>
    <cellStyle name="Comma 2 2 55" xfId="524" xr:uid="{1A11799A-6873-479E-B0A2-E16A19588221}"/>
    <cellStyle name="Comma 2 2 56" xfId="574" xr:uid="{3672F177-1AEA-4A21-AEC0-A865E397B0AD}"/>
    <cellStyle name="Comma 2 2 57" xfId="492" xr:uid="{8200AF21-D052-4471-BB1C-EBD81FE3F438}"/>
    <cellStyle name="Comma 2 2 58" xfId="466" xr:uid="{7AEEA4BB-210A-4D1E-BEA6-95B57BC5017D}"/>
    <cellStyle name="Comma 2 2 59" xfId="405" xr:uid="{71517B2A-05D0-47ED-9F00-80C5C0A77AF5}"/>
    <cellStyle name="Comma 2 2 6" xfId="59" xr:uid="{E5C6F132-885C-4C00-BBD5-09F2CE3CAE73}"/>
    <cellStyle name="Comma 2 2 60" xfId="464" xr:uid="{5D353146-D387-4026-A74A-E5F3C8E1A63A}"/>
    <cellStyle name="Comma 2 2 7" xfId="41" xr:uid="{AB83C35B-476C-4960-AFB0-FF1C315AD993}"/>
    <cellStyle name="Comma 2 2 8" xfId="43" xr:uid="{FEE50857-C138-488D-8AB9-A5CB35F05CE5}"/>
    <cellStyle name="Comma 2 2 9" xfId="42" xr:uid="{720BC2D8-8348-4670-A3ED-C9030565B819}"/>
    <cellStyle name="Comma 2 3" xfId="21" xr:uid="{E7E32AD5-7260-49E3-9DB6-7E244783150C}"/>
    <cellStyle name="Comma 2 4" xfId="22" xr:uid="{3EC20128-46A9-4704-AAC1-D559D5244439}"/>
    <cellStyle name="Comma 2 4 2 2" xfId="604" xr:uid="{0E6CD821-7E99-4AD0-9607-67E563F0A9FE}"/>
    <cellStyle name="Comma 2 5" xfId="51" xr:uid="{922DF0DF-9072-45B6-8E7F-6AC9C406A868}"/>
    <cellStyle name="Comma 2 6" xfId="54" xr:uid="{0C78F35F-48D9-4B7D-BF3E-009A2D763ED8}"/>
    <cellStyle name="Comma 2 7" xfId="158" xr:uid="{3194F68C-B1C5-4C47-9994-CA522228EFB3}"/>
    <cellStyle name="Comma 2 8" xfId="19" xr:uid="{D57D5F0C-12C1-4BE3-B6F4-4464D1BE8A19}"/>
    <cellStyle name="Comma 2 9" xfId="607" xr:uid="{3CEFB5B6-4382-4FF1-9414-6BA12E6DE351}"/>
    <cellStyle name="Comma 2 9 2" xfId="688" xr:uid="{FBD00D4E-38EE-4895-9A50-755AEEEA7C38}"/>
    <cellStyle name="Comma 20" xfId="671" xr:uid="{237A64A6-9E2F-4D43-8324-63875FF220D2}"/>
    <cellStyle name="Comma 20 2" xfId="750" xr:uid="{16691C5B-EE76-42CA-91B6-AC6B7543E96E}"/>
    <cellStyle name="Comma 21" xfId="752" xr:uid="{FBED3A51-1DAE-4B3D-BC8A-0F421ADFD20B}"/>
    <cellStyle name="Comma 22" xfId="755" xr:uid="{7F6A4E1A-DFC0-4F58-A6D7-1A2F461D1384}"/>
    <cellStyle name="Comma 23" xfId="9" xr:uid="{A2933147-E18D-4B1E-AF4A-1CA32F2CDC63}"/>
    <cellStyle name="Comma 3" xfId="14" xr:uid="{B83FFA47-CAB1-4F14-AB90-044BDC446AE9}"/>
    <cellStyle name="Comma 3 2" xfId="23" xr:uid="{CFB18186-7310-4DB8-894D-AA6E1A52A152}"/>
    <cellStyle name="Comma 3 2 2" xfId="615" xr:uid="{A60B3D44-C8CE-4834-9CE1-834DE988D224}"/>
    <cellStyle name="Comma 3 2 2 2" xfId="696" xr:uid="{742752D3-5773-4947-9B5D-D7B79B7D8E88}"/>
    <cellStyle name="Comma 3 2 3" xfId="680" xr:uid="{7F97009D-85FE-47BE-8A53-0B6B40DADACE}"/>
    <cellStyle name="Comma 3 3" xfId="610" xr:uid="{E8077007-CE51-424B-B3B6-BCDE870E6F2A}"/>
    <cellStyle name="Comma 3 3 2" xfId="691" xr:uid="{00E77CBA-6477-46A7-AB71-D7C436DEEB80}"/>
    <cellStyle name="Comma 3 4" xfId="675" xr:uid="{3B3BF5AE-1DD7-4916-A78E-556A2222DF52}"/>
    <cellStyle name="Comma 4" xfId="15" xr:uid="{06FA1640-206F-45A4-A2D3-27D88614A02A}"/>
    <cellStyle name="Comma 4 2" xfId="24" xr:uid="{0C8B2AB0-44C0-4E74-9A9F-D655EE7AE24B}"/>
    <cellStyle name="Comma 4 2 2" xfId="616" xr:uid="{3FCD7D5E-3CAC-4CEE-B2C0-3296591BE37D}"/>
    <cellStyle name="Comma 4 2 2 2" xfId="697" xr:uid="{F6EC527B-E51C-4434-B1A0-AACCEB69EED3}"/>
    <cellStyle name="Comma 4 2 3" xfId="681" xr:uid="{83120974-802C-4FF1-855C-DBA96B41D955}"/>
    <cellStyle name="Comma 4 3" xfId="611" xr:uid="{AC1404D1-AC99-47CA-9EEC-24457B2A4976}"/>
    <cellStyle name="Comma 4 3 2" xfId="692" xr:uid="{A272D8B5-689D-4677-80C7-BB7AF5F46FF1}"/>
    <cellStyle name="Comma 4 4" xfId="676" xr:uid="{9E258A8B-4F2B-4B40-86F9-70243DCC2D46}"/>
    <cellStyle name="Comma 5" xfId="25" xr:uid="{1D205B65-BDF9-4AF9-8B6E-780C5B74D26E}"/>
    <cellStyle name="Comma 5 2" xfId="617" xr:uid="{E9B03E79-FD86-45BE-9DB3-BA7EFB5B34F7}"/>
    <cellStyle name="Comma 5 2 2" xfId="698" xr:uid="{EE93186E-239B-4FC4-BC38-641CAE9D47C9}"/>
    <cellStyle name="Comma 5 3" xfId="682" xr:uid="{8E2A06E2-677F-4E56-A502-1578BF8B06B9}"/>
    <cellStyle name="Comma 6" xfId="18" xr:uid="{04E813C5-BF33-45D8-ACCC-83FE62FD8E95}"/>
    <cellStyle name="Comma 6 2" xfId="614" xr:uid="{75AD580E-1AFA-42FA-A74C-CBA6D9C5D088}"/>
    <cellStyle name="Comma 6 2 2" xfId="695" xr:uid="{519CCAAE-6498-4D39-80E9-980EDF249105}"/>
    <cellStyle name="Comma 6 3" xfId="679" xr:uid="{57B7E392-FCD0-4083-82E8-2B2E02740158}"/>
    <cellStyle name="Comma 7" xfId="16" xr:uid="{A178D2F3-1711-4F2F-AC45-D542D861D8D7}"/>
    <cellStyle name="Comma 7 2" xfId="26" xr:uid="{3CC37A3D-C27D-4BF7-9D71-A0234862093D}"/>
    <cellStyle name="Comma 7 3" xfId="612" xr:uid="{4D299ADF-8D20-4E88-908C-006187CBF38C}"/>
    <cellStyle name="Comma 7 3 2" xfId="693" xr:uid="{916B0042-DD7D-4E6F-835C-4993628DFB64}"/>
    <cellStyle name="Comma 7 4" xfId="677" xr:uid="{E0EF28A7-299C-4925-9671-7770FBEC040C}"/>
    <cellStyle name="Comma 8" xfId="626" xr:uid="{4AAA1309-D860-42AD-9740-B0E49B466422}"/>
    <cellStyle name="Comma 8 2" xfId="630" xr:uid="{7780AE66-9C2B-4A07-9C1D-32DE33694A80}"/>
    <cellStyle name="Comma 8 2 2" xfId="710" xr:uid="{37505A4A-76EF-4DED-980D-13E200016F5A}"/>
    <cellStyle name="Comma 8 3" xfId="707" xr:uid="{588D4EA9-6205-4764-929A-9211CC416FD8}"/>
    <cellStyle name="Comma 9" xfId="636" xr:uid="{77200A6A-15CB-4664-914B-3393CFAEBB24}"/>
    <cellStyle name="Comma 9 2" xfId="716" xr:uid="{B590E07D-A251-4980-8DA8-42E15432F099}"/>
    <cellStyle name="Hyperlink 2" xfId="27" xr:uid="{D9457B9C-B960-45F8-AC92-4275BE3809E5}"/>
    <cellStyle name="Hyperlink 3" xfId="627" xr:uid="{81BA42A3-ABDF-4E9A-929A-AFB62786D0F2}"/>
    <cellStyle name="Jun" xfId="28" xr:uid="{FA9F7C79-8762-433E-9363-211B5F63922A}"/>
    <cellStyle name="Normal" xfId="0" builtinId="0"/>
    <cellStyle name="Normal 10" xfId="644" xr:uid="{F7990A3A-561E-4B48-9565-9214CCB91199}"/>
    <cellStyle name="Normal 10 2" xfId="724" xr:uid="{07D2CF24-6BE3-47D9-86C5-EF130C6EDBA1}"/>
    <cellStyle name="Normal 11" xfId="654" xr:uid="{CC000361-5F7C-4D60-9069-6EC9DCC2FA1D}"/>
    <cellStyle name="Normal 11 2" xfId="733" xr:uid="{787E1798-3EE0-4203-9F25-8E6AE8996939}"/>
    <cellStyle name="Normal 12" xfId="657" xr:uid="{45C11436-BE4E-4DFD-A342-1A4A4A232093}"/>
    <cellStyle name="Normal 12 2" xfId="736" xr:uid="{8A91EE95-525B-47BE-A3A9-5914F75CE559}"/>
    <cellStyle name="Normal 13" xfId="660" xr:uid="{490D4AF5-087F-45CE-BCD7-32C5BC27C38C}"/>
    <cellStyle name="Normal 13 2" xfId="739" xr:uid="{3CD617B6-2E91-477A-9310-00062E6BB9D4}"/>
    <cellStyle name="Normal 13 3" xfId="756" xr:uid="{FE84B947-F583-43B4-B7D8-44B1E7553BCF}"/>
    <cellStyle name="Normal 13 3 2" xfId="758" xr:uid="{84C7E955-86C1-4B3C-9733-09060BD5EA7D}"/>
    <cellStyle name="Normal 14" xfId="29" xr:uid="{D248863F-5932-47E6-ACA3-2DA47C909313}"/>
    <cellStyle name="Normal 14 2" xfId="618" xr:uid="{85B284F9-42FC-4202-8D63-50B0687C67C8}"/>
    <cellStyle name="Normal 14 2 2" xfId="699" xr:uid="{EEA8DE41-4333-4BCC-8FFA-E90EB22B9E6A}"/>
    <cellStyle name="Normal 14 3" xfId="683" xr:uid="{2F9BF7DC-CA17-44C5-86A3-A010C96B8F8D}"/>
    <cellStyle name="Normal 15" xfId="662" xr:uid="{5B996FBE-20AA-4260-9AC8-7F7B4F6AB28E}"/>
    <cellStyle name="Normal 15 2" xfId="603" xr:uid="{717FFB82-2FC6-47A9-BBF4-BA517562A01D}"/>
    <cellStyle name="Normal 15 2 2" xfId="620" xr:uid="{3EE4F601-F2E1-4E45-84F2-4BFE3C28CDF4}"/>
    <cellStyle name="Normal 15 2 2 2" xfId="701" xr:uid="{A77C0C32-3CA0-4A7E-B9EF-7314A04E8D79}"/>
    <cellStyle name="Normal 15 2 3" xfId="685" xr:uid="{089F54AC-B81C-4B61-A3AA-0CC2068DD951}"/>
    <cellStyle name="Normal 15 3" xfId="741" xr:uid="{AE6056E5-0CE3-4A05-9E08-5D23ED59C355}"/>
    <cellStyle name="Normal 16" xfId="665" xr:uid="{1D217A7C-0307-45E4-AA94-6C28D5E35001}"/>
    <cellStyle name="Normal 16 2" xfId="744" xr:uid="{4DADE2D2-0FA1-406F-9848-184CD88701F7}"/>
    <cellStyle name="Normal 17" xfId="668" xr:uid="{435BA139-6246-437C-ACF5-5861E98B2485}"/>
    <cellStyle name="Normal 17 2" xfId="747" xr:uid="{8D574D83-F990-4188-BA21-8176CA9AEDE7}"/>
    <cellStyle name="Normal 18" xfId="670" xr:uid="{9F422C3D-3499-4FEA-9F27-1E8655871BE2}"/>
    <cellStyle name="Normal 19" xfId="751" xr:uid="{CCC7E8B1-1082-4C6A-A71C-304795BEF4C7}"/>
    <cellStyle name="Normal 2" xfId="12" xr:uid="{25673517-B807-445C-995B-BF8DA953E9AA}"/>
    <cellStyle name="Normal 2 2" xfId="31" xr:uid="{1EAC5AA5-7F67-4051-A6C2-937D15E85BE5}"/>
    <cellStyle name="Normal 2 2 2" xfId="651" xr:uid="{5CFDC8D0-ECDF-4795-BDEE-74E367864FDB}"/>
    <cellStyle name="Normal 2 2 2 2" xfId="731" xr:uid="{558A2E04-CD8D-4D83-A7E0-E3FA2152C321}"/>
    <cellStyle name="Normal 2 3" xfId="30" xr:uid="{76205AF5-32CB-40B3-A065-836689FDD8DD}"/>
    <cellStyle name="Normal 2 4" xfId="32" xr:uid="{B5E46B0E-CC38-4A72-BC59-9BC361FA9BF8}"/>
    <cellStyle name="Normal 2 5" xfId="605" xr:uid="{C11ED23A-3FF0-46F0-8330-911FA43F3E06}"/>
    <cellStyle name="Normal 2 5 2" xfId="686" xr:uid="{A73787AC-38EF-46C2-B163-523DC5915001}"/>
    <cellStyle name="Normal 2 6" xfId="608" xr:uid="{5411FF0F-4045-4D0D-B4CE-F56A0C25C5B9}"/>
    <cellStyle name="Normal 2 6 2" xfId="689" xr:uid="{1FFC865F-C5F0-439B-99BB-0EF60B442604}"/>
    <cellStyle name="Normal 2 7" xfId="621" xr:uid="{B7F66BF8-8631-454F-ACF6-BE6960F6F7B2}"/>
    <cellStyle name="Normal 2 7 2" xfId="628" xr:uid="{0219085B-8F08-41A3-9B26-2E1F4C691D7E}"/>
    <cellStyle name="Normal 2 7 2 2" xfId="648" xr:uid="{C8C0811E-CD7E-4588-8E6C-0B79E4AB9239}"/>
    <cellStyle name="Normal 2 7 2 2 2" xfId="728" xr:uid="{2605B6FC-8150-4E8F-A958-FAF68F626CFB}"/>
    <cellStyle name="Normal 2 7 2 3" xfId="653" xr:uid="{262728A6-3F79-4775-A655-F9353A135FFA}"/>
    <cellStyle name="Normal 2 7 2 3 2" xfId="732" xr:uid="{B4EEE9ED-B665-4B02-88C0-97E7A2E3853C}"/>
    <cellStyle name="Normal 2 7 2 4" xfId="708" xr:uid="{CE7D44E0-979D-45CB-B1DC-47B1E5BAD3AA}"/>
    <cellStyle name="Normal 2 7 3" xfId="702" xr:uid="{10413DE2-F097-4257-A708-D7F95993D387}"/>
    <cellStyle name="Normal 2 8" xfId="649" xr:uid="{E233F6BC-38AC-4EB8-B2E0-B1C781CBF203}"/>
    <cellStyle name="Normal 2 8 2" xfId="729" xr:uid="{FA5776D2-C391-4670-BF57-D2E7BE731126}"/>
    <cellStyle name="Normal 2 9" xfId="673" xr:uid="{528E6007-0A37-43DE-995F-47813D730D67}"/>
    <cellStyle name="Normal 20" xfId="754" xr:uid="{9D32F70B-5830-4FF8-B650-4A863FA662FD}"/>
    <cellStyle name="Normal 21" xfId="8" xr:uid="{EBDF2596-4AAE-4198-A89D-14873DBDE0CE}"/>
    <cellStyle name="Normal 3" xfId="33" xr:uid="{9EE48517-4188-4C7B-88EC-CBB5AFDB9430}"/>
    <cellStyle name="Normal 3 2" xfId="34" xr:uid="{38FFDDD7-74F7-464D-A1A2-254A6ED1BD9A}"/>
    <cellStyle name="Normal 4" xfId="17" xr:uid="{93C869C8-A19C-4117-99D0-FA69761D9FD1}"/>
    <cellStyle name="Normal 4 2" xfId="613" xr:uid="{B37171EB-5364-427A-B997-79891CAD39F5}"/>
    <cellStyle name="Normal 4 2 2" xfId="694" xr:uid="{C5A397D6-FDAB-423E-9E6B-D181BC1724CC}"/>
    <cellStyle name="Normal 4 3" xfId="678" xr:uid="{75754412-ED56-4733-ADB4-3D3974320002}"/>
    <cellStyle name="Normal 5" xfId="622" xr:uid="{1224BD07-0916-44B2-9B88-F520765577BB}"/>
    <cellStyle name="Normal 5 2" xfId="632" xr:uid="{691D440F-C33E-4C49-909F-2438CC05FD87}"/>
    <cellStyle name="Normal 5 2 2" xfId="712" xr:uid="{A6BFB583-92EB-4987-B1DB-65036C1C6B41}"/>
    <cellStyle name="Normal 5 3" xfId="703" xr:uid="{AAB5BD7D-C4D4-456F-A5A9-388A465598B2}"/>
    <cellStyle name="Normal 6" xfId="624" xr:uid="{67E2E499-62F6-4883-8D18-8EC9B816F34F}"/>
    <cellStyle name="Normal 6 2" xfId="629" xr:uid="{12D6877A-8B05-42F0-98B7-B29F23B8D281}"/>
    <cellStyle name="Normal 6 2 2" xfId="709" xr:uid="{A15EB5B5-1A6B-4300-B93E-C68F6B55B266}"/>
    <cellStyle name="Normal 6 3" xfId="705" xr:uid="{E073E1AE-F634-4798-833F-31FAF399AABE}"/>
    <cellStyle name="Normal 7" xfId="634" xr:uid="{AEEE246A-02E0-4B67-A7F9-21A4FCE54DD0}"/>
    <cellStyle name="Normal 7 2" xfId="714" xr:uid="{A1DB5A78-7A61-4BE0-BBCF-CE6A54E8524A}"/>
    <cellStyle name="Normal 8" xfId="638" xr:uid="{06A8A739-4960-4425-86FF-B56EECA46922}"/>
    <cellStyle name="Normal 8 2" xfId="718" xr:uid="{8399B7AB-584E-4F16-B8FD-2A0912D9C319}"/>
    <cellStyle name="Normal 9" xfId="641" xr:uid="{D6D61497-F348-4CC5-8FE8-0D1BD5094188}"/>
    <cellStyle name="Normal 9 2" xfId="721" xr:uid="{3336F366-0B14-4CA5-A2DA-7D8956149527}"/>
    <cellStyle name="Percent" xfId="4" builtinId="5"/>
    <cellStyle name="Percent 10" xfId="658" xr:uid="{E8ABB582-4961-46AF-A26E-7B32CA40275B}"/>
    <cellStyle name="Percent 10 2" xfId="5" xr:uid="{00000000-0005-0000-0000-000005000000}"/>
    <cellStyle name="Percent 10 2 2" xfId="737" xr:uid="{45A346B5-DADD-4886-83CE-5938565997A1}"/>
    <cellStyle name="Percent 11" xfId="661" xr:uid="{0B4E881F-D8F9-43F3-8BB1-92E85D8F3308}"/>
    <cellStyle name="Percent 11 2" xfId="740" xr:uid="{5A06B50E-9AE8-43D2-99A3-16D231C5B109}"/>
    <cellStyle name="Percent 12" xfId="663" xr:uid="{F594E22A-DFAB-4FB9-AD84-F13F36F726C4}"/>
    <cellStyle name="Percent 12 2" xfId="742" xr:uid="{336EB8B7-17D2-44CB-83D2-16DCA414E4F3}"/>
    <cellStyle name="Percent 13" xfId="666" xr:uid="{E1B462B7-35FA-4486-AD51-5ABE63D014FC}"/>
    <cellStyle name="Percent 13 2" xfId="745" xr:uid="{78511E86-A52E-49CC-8A22-D52DF21F02DB}"/>
    <cellStyle name="Percent 14" xfId="6" xr:uid="{00000000-0005-0000-0000-000006000000}"/>
    <cellStyle name="Percent 14 2" xfId="749" xr:uid="{2855A5DC-5957-4CEA-BA54-AF3580BE0992}"/>
    <cellStyle name="Percent 15" xfId="753" xr:uid="{B32483FB-06C8-4289-82E7-E7C11D5B709D}"/>
    <cellStyle name="Percent 16" xfId="757" xr:uid="{B8FE175E-84EB-4F85-9DD1-8B0D019177CF}"/>
    <cellStyle name="Percent 17" xfId="10" xr:uid="{E3D94445-873F-4EB2-98D1-1802DFC78B73}"/>
    <cellStyle name="Percent 2" xfId="13" xr:uid="{4BF17599-EF20-436F-9340-033B13FEF361}"/>
    <cellStyle name="Percent 2 2" xfId="606" xr:uid="{0E95B53E-3936-4B60-8950-31F512E8376A}"/>
    <cellStyle name="Percent 2 2 2" xfId="687" xr:uid="{C3A755FB-0740-4540-94DA-47879D0C3756}"/>
    <cellStyle name="Percent 2 3" xfId="609" xr:uid="{F0A14DA0-C8DF-4C46-B38D-491D633EBA1C}"/>
    <cellStyle name="Percent 2 3 2" xfId="690" xr:uid="{8870446C-2414-453D-81FE-8F1EF9296EA3}"/>
    <cellStyle name="Percent 2 4" xfId="652" xr:uid="{6197C78F-1FA2-4893-B528-C0C34F9DEB19}"/>
    <cellStyle name="Percent 2 5" xfId="674" xr:uid="{EC68D84E-1807-48CF-8EF9-FF1F2ECEF905}"/>
    <cellStyle name="Percent 3" xfId="35" xr:uid="{62B80F37-9E04-4ACC-9010-50571BE54F40}"/>
    <cellStyle name="Percent 3 2" xfId="619" xr:uid="{935B9729-C492-4766-9040-0DC8831355CC}"/>
    <cellStyle name="Percent 3 2 2" xfId="700" xr:uid="{7AF51B9C-9D07-488B-9630-51DBD19C42A9}"/>
    <cellStyle name="Percent 3 3" xfId="684" xr:uid="{1E950317-065C-4C4F-A70C-E0A715CFAD63}"/>
    <cellStyle name="Percent 4" xfId="623" xr:uid="{3C0200CF-261D-4A33-8E3E-7F072477E4CD}"/>
    <cellStyle name="Percent 4 2" xfId="633" xr:uid="{33B46DD2-294D-4C03-A8DB-29B92613F159}"/>
    <cellStyle name="Percent 4 2 2" xfId="713" xr:uid="{3C9E95AC-90CF-4AB0-AE94-2FB167CCD259}"/>
    <cellStyle name="Percent 4 3" xfId="704" xr:uid="{AC2864A5-83EB-473E-9B70-389A03EC2527}"/>
    <cellStyle name="Percent 5" xfId="625" xr:uid="{C1723FB0-8900-458E-A14A-8B516461CF86}"/>
    <cellStyle name="Percent 5 2" xfId="631" xr:uid="{29D3A9C9-72FC-4A07-A6B9-098FB0A74C62}"/>
    <cellStyle name="Percent 5 2 2" xfId="711" xr:uid="{32175CCF-0C6C-423C-B218-8CC797B27C1A}"/>
    <cellStyle name="Percent 5 3" xfId="706" xr:uid="{D69BD668-E235-48B9-9940-F6E4737029CA}"/>
    <cellStyle name="Percent 6" xfId="635" xr:uid="{AF30FDD3-520B-42E5-B300-45C30CE1D55E}"/>
    <cellStyle name="Percent 6 2" xfId="715" xr:uid="{C25F0E6E-1184-45E9-9BE3-A8A4DB46F0C7}"/>
    <cellStyle name="Percent 7" xfId="639" xr:uid="{D63ABDD7-E696-47C1-8DCF-E0AB18E2BADE}"/>
    <cellStyle name="Percent 7 2" xfId="719" xr:uid="{B2CF5250-4975-47C4-BD54-2710C01F899F}"/>
    <cellStyle name="Percent 8" xfId="642" xr:uid="{B8C528ED-40AE-43C8-B704-9699FE807046}"/>
    <cellStyle name="Percent 8 2" xfId="722" xr:uid="{4F65A930-B287-4CA4-81AA-C6748CC77216}"/>
    <cellStyle name="Percent 9" xfId="645" xr:uid="{959B993C-2EEB-49E9-BF81-D5FD2AE75872}"/>
    <cellStyle name="Percent 9 2" xfId="725" xr:uid="{BF3ED9E1-3C70-492B-854D-25CA25EFE064}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37B2-D2B4-4D8B-A07B-6FE9A5A459A8}">
  <dimension ref="A1:AJ303"/>
  <sheetViews>
    <sheetView tabSelected="1" zoomScaleNormal="100" workbookViewId="0">
      <pane xSplit="1" ySplit="1" topLeftCell="Z2" activePane="bottomRight" state="frozen"/>
      <selection pane="topRight" activeCell="B1" sqref="B1"/>
      <selection pane="bottomLeft" activeCell="A2" sqref="A2"/>
      <selection pane="bottomRight" activeCell="AC234" sqref="AC234"/>
    </sheetView>
  </sheetViews>
  <sheetFormatPr defaultColWidth="8.81640625" defaultRowHeight="14.5" x14ac:dyDescent="0.35"/>
  <cols>
    <col min="1" max="1" width="41.26953125" style="1" customWidth="1"/>
    <col min="2" max="8" width="9.1796875" style="3" customWidth="1"/>
    <col min="9" max="9" width="10.1796875" style="3" bestFit="1" customWidth="1"/>
    <col min="10" max="10" width="8" style="3" bestFit="1" customWidth="1"/>
    <col min="11" max="13" width="1.7265625" style="1" customWidth="1"/>
    <col min="14" max="15" width="9" style="3" bestFit="1" customWidth="1"/>
    <col min="16" max="16" width="8.453125" style="39" bestFit="1" customWidth="1"/>
    <col min="17" max="17" width="8.453125" style="3" bestFit="1" customWidth="1"/>
    <col min="18" max="18" width="10.453125" style="3" bestFit="1" customWidth="1"/>
    <col min="19" max="21" width="10.453125" style="39" bestFit="1" customWidth="1"/>
    <col min="22" max="27" width="10.54296875" style="39" bestFit="1" customWidth="1"/>
    <col min="28" max="28" width="11.1796875" style="39" bestFit="1" customWidth="1"/>
    <col min="29" max="29" width="11.453125" style="39" bestFit="1" customWidth="1"/>
    <col min="30" max="30" width="11.54296875" style="67" bestFit="1" customWidth="1"/>
    <col min="31" max="31" width="9.453125" style="67" bestFit="1" customWidth="1"/>
    <col min="32" max="32" width="2" style="67" customWidth="1"/>
    <col min="33" max="33" width="20" style="1" bestFit="1" customWidth="1"/>
    <col min="34" max="34" width="11.453125" style="1" bestFit="1" customWidth="1"/>
    <col min="35" max="16384" width="8.81640625" style="1"/>
  </cols>
  <sheetData>
    <row r="1" spans="1:36" s="5" customFormat="1" x14ac:dyDescent="0.35">
      <c r="A1" s="5" t="s">
        <v>80</v>
      </c>
      <c r="B1" s="6" t="s">
        <v>62</v>
      </c>
      <c r="C1" s="6" t="s">
        <v>59</v>
      </c>
      <c r="D1" s="6" t="s">
        <v>60</v>
      </c>
      <c r="E1" s="6" t="s">
        <v>61</v>
      </c>
      <c r="F1" s="6" t="s">
        <v>73</v>
      </c>
      <c r="G1" s="6" t="s">
        <v>211</v>
      </c>
      <c r="H1" s="6" t="s">
        <v>230</v>
      </c>
      <c r="I1" s="6" t="s">
        <v>251</v>
      </c>
      <c r="J1" s="6" t="s">
        <v>205</v>
      </c>
      <c r="N1" s="6" t="s">
        <v>38</v>
      </c>
      <c r="O1" s="6" t="s">
        <v>39</v>
      </c>
      <c r="P1" s="80" t="s">
        <v>40</v>
      </c>
      <c r="Q1" s="6" t="s">
        <v>74</v>
      </c>
      <c r="R1" s="6" t="s">
        <v>186</v>
      </c>
      <c r="S1" s="80" t="s">
        <v>191</v>
      </c>
      <c r="T1" s="80" t="s">
        <v>204</v>
      </c>
      <c r="U1" s="80" t="s">
        <v>212</v>
      </c>
      <c r="V1" s="80" t="s">
        <v>223</v>
      </c>
      <c r="W1" s="80" t="s">
        <v>226</v>
      </c>
      <c r="X1" s="80" t="s">
        <v>227</v>
      </c>
      <c r="Y1" s="80" t="s">
        <v>229</v>
      </c>
      <c r="Z1" s="80" t="s">
        <v>233</v>
      </c>
      <c r="AA1" s="80" t="s">
        <v>236</v>
      </c>
      <c r="AB1" s="80" t="s">
        <v>237</v>
      </c>
      <c r="AC1" s="80" t="s">
        <v>249</v>
      </c>
      <c r="AD1" s="66" t="s">
        <v>203</v>
      </c>
      <c r="AE1" s="66" t="s">
        <v>202</v>
      </c>
      <c r="AF1" s="66"/>
    </row>
    <row r="2" spans="1:36" s="5" customFormat="1" x14ac:dyDescent="0.35">
      <c r="A2" s="5" t="s">
        <v>189</v>
      </c>
      <c r="B2" s="6"/>
      <c r="C2" s="6"/>
      <c r="D2" s="6"/>
      <c r="E2" s="6"/>
      <c r="F2" s="6"/>
      <c r="G2" s="6"/>
      <c r="H2" s="6"/>
      <c r="I2" s="6"/>
      <c r="J2" s="6"/>
      <c r="N2" s="6"/>
      <c r="O2" s="6"/>
      <c r="P2" s="80"/>
      <c r="Q2" s="6"/>
      <c r="R2" s="6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66"/>
      <c r="AE2" s="66"/>
      <c r="AF2" s="66"/>
    </row>
    <row r="3" spans="1:36" x14ac:dyDescent="0.35">
      <c r="A3" s="1" t="s">
        <v>75</v>
      </c>
      <c r="B3" s="26">
        <v>8473.16</v>
      </c>
      <c r="C3" s="26">
        <v>13559.32</v>
      </c>
      <c r="D3" s="26">
        <v>24435.74</v>
      </c>
      <c r="E3" s="26">
        <v>36183.599999999999</v>
      </c>
      <c r="F3" s="26">
        <v>41410.720000000001</v>
      </c>
      <c r="G3" s="26">
        <f>U3</f>
        <v>53803.35</v>
      </c>
      <c r="H3" s="26">
        <f>Y3</f>
        <v>71979.679999999993</v>
      </c>
      <c r="I3" s="26">
        <f>AC3</f>
        <v>96978.33</v>
      </c>
      <c r="J3" s="30">
        <f>I3/H3-1</f>
        <v>0.34730148842006536</v>
      </c>
      <c r="N3" s="26">
        <v>36225.129999999997</v>
      </c>
      <c r="O3" s="26">
        <v>37300.120000000003</v>
      </c>
      <c r="P3" s="26">
        <v>39406.466114549992</v>
      </c>
      <c r="Q3" s="26">
        <v>41410.720000000001</v>
      </c>
      <c r="R3" s="26">
        <v>42942.68</v>
      </c>
      <c r="S3" s="26">
        <v>46170.28</v>
      </c>
      <c r="T3" s="26">
        <v>49940.480000000003</v>
      </c>
      <c r="U3" s="26">
        <v>53803.35</v>
      </c>
      <c r="V3" s="26">
        <v>58318.83</v>
      </c>
      <c r="W3" s="26">
        <v>62754.37</v>
      </c>
      <c r="X3" s="26">
        <v>67511.78</v>
      </c>
      <c r="Y3" s="26">
        <v>71979.679999999993</v>
      </c>
      <c r="Z3" s="26">
        <v>77758.92</v>
      </c>
      <c r="AA3" s="26">
        <v>83654.45</v>
      </c>
      <c r="AB3" s="26">
        <v>90137.44</v>
      </c>
      <c r="AC3" s="26">
        <v>96978.33</v>
      </c>
      <c r="AD3" s="69">
        <f>IFERROR(AC3/Y3-1,"")</f>
        <v>0.34730148842006536</v>
      </c>
      <c r="AE3" s="69">
        <f>IFERROR(AC3/AB3-1,"")</f>
        <v>7.5893990332984718E-2</v>
      </c>
      <c r="AF3" s="69"/>
      <c r="AG3" s="116"/>
    </row>
    <row r="4" spans="1:36" x14ac:dyDescent="0.35">
      <c r="A4" s="1" t="s">
        <v>243</v>
      </c>
      <c r="B4" s="26">
        <v>542.41999999999996</v>
      </c>
      <c r="C4" s="26">
        <v>374.62</v>
      </c>
      <c r="D4" s="26">
        <v>2920.65</v>
      </c>
      <c r="E4" s="26">
        <v>5760.9</v>
      </c>
      <c r="F4" s="26">
        <v>7655.86</v>
      </c>
      <c r="G4" s="26">
        <f>U4</f>
        <v>10251.59</v>
      </c>
      <c r="H4" s="26">
        <f t="shared" ref="H4:H6" si="0">Y4</f>
        <v>10564.91</v>
      </c>
      <c r="I4" s="26">
        <f>AC4</f>
        <v>12191.39</v>
      </c>
      <c r="J4" s="30">
        <f>IFERROR(I4/H4-1,"")</f>
        <v>0.15395114582140312</v>
      </c>
      <c r="N4" s="26">
        <v>7501.27</v>
      </c>
      <c r="O4" s="26">
        <v>7175.2</v>
      </c>
      <c r="P4" s="26">
        <v>6882.5057435312592</v>
      </c>
      <c r="Q4" s="26">
        <f>F4</f>
        <v>7655.86</v>
      </c>
      <c r="R4" s="26">
        <v>8487.92</v>
      </c>
      <c r="S4" s="26">
        <v>9285.1</v>
      </c>
      <c r="T4" s="26">
        <v>9914.15</v>
      </c>
      <c r="U4" s="26">
        <v>10251.59</v>
      </c>
      <c r="V4" s="26">
        <v>10507.439999999999</v>
      </c>
      <c r="W4" s="26">
        <v>10498.74</v>
      </c>
      <c r="X4" s="26">
        <v>10455.25</v>
      </c>
      <c r="Y4" s="26">
        <v>10564.91</v>
      </c>
      <c r="Z4" s="26">
        <v>10770.24</v>
      </c>
      <c r="AA4" s="26">
        <v>11135.94</v>
      </c>
      <c r="AB4" s="26">
        <v>11881.97</v>
      </c>
      <c r="AC4" s="26">
        <v>12191.39</v>
      </c>
      <c r="AD4" s="69">
        <f>IFERROR(AC4/Y4-1,"")</f>
        <v>0.15395114582140312</v>
      </c>
      <c r="AE4" s="69">
        <f>IFERROR(AC4/AB4-1,"")</f>
        <v>2.604113627622362E-2</v>
      </c>
      <c r="AF4" s="69"/>
    </row>
    <row r="5" spans="1:36" x14ac:dyDescent="0.35">
      <c r="A5" s="1" t="s">
        <v>238</v>
      </c>
      <c r="B5" s="26"/>
      <c r="C5" s="26"/>
      <c r="D5" s="26"/>
      <c r="E5" s="26"/>
      <c r="F5" s="26"/>
      <c r="G5" s="26">
        <f>U5</f>
        <v>0</v>
      </c>
      <c r="H5" s="26">
        <f t="shared" si="0"/>
        <v>856.07</v>
      </c>
      <c r="I5" s="26">
        <f>AC5</f>
        <v>2741.24</v>
      </c>
      <c r="J5" s="30">
        <f>IFERROR(I5/H5-1,"")</f>
        <v>2.2021213218545208</v>
      </c>
      <c r="N5" s="26"/>
      <c r="O5" s="26"/>
      <c r="P5" s="26"/>
      <c r="Q5" s="26"/>
      <c r="R5" s="26"/>
      <c r="S5" s="26">
        <v>0</v>
      </c>
      <c r="T5" s="26">
        <v>0</v>
      </c>
      <c r="U5" s="26">
        <v>0</v>
      </c>
      <c r="V5" s="26">
        <v>76.62</v>
      </c>
      <c r="W5" s="26">
        <v>241.97</v>
      </c>
      <c r="X5" s="26">
        <v>540.02</v>
      </c>
      <c r="Y5" s="26">
        <v>856.07</v>
      </c>
      <c r="Z5" s="26">
        <v>1181.47</v>
      </c>
      <c r="AA5" s="26">
        <v>1638.56</v>
      </c>
      <c r="AB5" s="26">
        <v>2169.8200000000002</v>
      </c>
      <c r="AC5" s="26">
        <v>2741.24</v>
      </c>
      <c r="AD5" s="69">
        <f>IFERROR(AC5/Y5-1,"")</f>
        <v>2.2021213218545208</v>
      </c>
      <c r="AE5" s="69">
        <f>IFERROR(AC5/AB5-1,"")</f>
        <v>0.26334903356038719</v>
      </c>
      <c r="AF5" s="69"/>
    </row>
    <row r="6" spans="1:36" s="2" customFormat="1" x14ac:dyDescent="0.35">
      <c r="A6" s="2" t="s">
        <v>76</v>
      </c>
      <c r="B6" s="27">
        <v>7928.97</v>
      </c>
      <c r="C6" s="27">
        <v>13144.09</v>
      </c>
      <c r="D6" s="27">
        <v>21466.74</v>
      </c>
      <c r="E6" s="27">
        <v>30406.600000000006</v>
      </c>
      <c r="F6" s="98">
        <v>33717.980000000003</v>
      </c>
      <c r="G6" s="35">
        <f>U6</f>
        <v>43515.16</v>
      </c>
      <c r="H6" s="35">
        <f t="shared" si="0"/>
        <v>60521.220000000008</v>
      </c>
      <c r="I6" s="35">
        <f>AC6</f>
        <v>82126.23</v>
      </c>
      <c r="J6" s="30">
        <f>I6/H6-1</f>
        <v>0.35698239394380993</v>
      </c>
      <c r="N6" s="27">
        <v>29000.59</v>
      </c>
      <c r="O6" s="27">
        <v>30120.57</v>
      </c>
      <c r="P6" s="27">
        <v>32519.565761586546</v>
      </c>
      <c r="Q6" s="27">
        <v>33717.980000000003</v>
      </c>
      <c r="R6" s="27">
        <v>34411.030000000013</v>
      </c>
      <c r="S6" s="27">
        <v>36858.879999999997</v>
      </c>
      <c r="T6" s="27">
        <v>40004.019999999997</v>
      </c>
      <c r="U6" s="98">
        <v>43515.16</v>
      </c>
      <c r="V6" s="98">
        <v>47677.66</v>
      </c>
      <c r="W6" s="98">
        <v>51950.879999999997</v>
      </c>
      <c r="X6" s="98">
        <v>56481</v>
      </c>
      <c r="Y6" s="98">
        <v>60521.220000000008</v>
      </c>
      <c r="Z6" s="98">
        <v>65793.959999999992</v>
      </c>
      <c r="AA6" s="98">
        <v>70884.98</v>
      </c>
      <c r="AB6" s="98">
        <v>76142.45</v>
      </c>
      <c r="AC6" s="98">
        <v>82126.23</v>
      </c>
      <c r="AD6" s="69">
        <f>IFERROR(AC6/Y6-1,"")</f>
        <v>0.35698239394380993</v>
      </c>
      <c r="AE6" s="69">
        <f>IFERROR(AC6/AB6-1,"")</f>
        <v>7.8586649103095541E-2</v>
      </c>
      <c r="AF6" s="69"/>
      <c r="AG6" s="1"/>
    </row>
    <row r="7" spans="1:36" s="8" customFormat="1" x14ac:dyDescent="0.35">
      <c r="A7" s="8" t="s">
        <v>244</v>
      </c>
      <c r="B7" s="28">
        <f t="shared" ref="B7:G7" si="1">B4/B3</f>
        <v>6.4016258397103315E-2</v>
      </c>
      <c r="C7" s="28">
        <f t="shared" si="1"/>
        <v>2.7628229144234372E-2</v>
      </c>
      <c r="D7" s="28">
        <f t="shared" si="1"/>
        <v>0.11952369766579608</v>
      </c>
      <c r="E7" s="28">
        <f t="shared" si="1"/>
        <v>0.15921301363048451</v>
      </c>
      <c r="F7" s="28">
        <f t="shared" si="1"/>
        <v>0.18487628324259997</v>
      </c>
      <c r="G7" s="28">
        <f t="shared" si="1"/>
        <v>0.19053813563653565</v>
      </c>
      <c r="H7" s="28">
        <f t="shared" ref="H7:I7" si="2">H4/H3</f>
        <v>0.14677628464033185</v>
      </c>
      <c r="I7" s="28">
        <f t="shared" si="2"/>
        <v>0.12571251742528458</v>
      </c>
      <c r="J7" s="28"/>
      <c r="N7" s="28">
        <f t="shared" ref="N7:U7" si="3">N4/N3</f>
        <v>0.20707365301380565</v>
      </c>
      <c r="O7" s="28">
        <f t="shared" si="3"/>
        <v>0.19236399239466251</v>
      </c>
      <c r="P7" s="37">
        <f t="shared" si="3"/>
        <v>0.17465422358667279</v>
      </c>
      <c r="Q7" s="28">
        <f t="shared" si="3"/>
        <v>0.18487628324259997</v>
      </c>
      <c r="R7" s="28">
        <f t="shared" si="3"/>
        <v>0.19765696970938934</v>
      </c>
      <c r="S7" s="37">
        <f t="shared" si="3"/>
        <v>0.20110555968038316</v>
      </c>
      <c r="T7" s="37">
        <f>T4/T3</f>
        <v>0.1985193173954275</v>
      </c>
      <c r="U7" s="37">
        <f t="shared" si="3"/>
        <v>0.19053813563653565</v>
      </c>
      <c r="V7" s="37">
        <f t="shared" ref="V7:W7" si="4">V4/V3</f>
        <v>0.18017233884836165</v>
      </c>
      <c r="W7" s="37">
        <f t="shared" si="4"/>
        <v>0.1672989466709649</v>
      </c>
      <c r="X7" s="37">
        <f t="shared" ref="X7:AB7" si="5">X4/X3</f>
        <v>0.15486556568349999</v>
      </c>
      <c r="Y7" s="37">
        <f t="shared" si="5"/>
        <v>0.14677628464033185</v>
      </c>
      <c r="Z7" s="37">
        <f t="shared" si="5"/>
        <v>0.13850809656306956</v>
      </c>
      <c r="AA7" s="37">
        <f t="shared" si="5"/>
        <v>0.13311832185855027</v>
      </c>
      <c r="AB7" s="37">
        <f t="shared" si="5"/>
        <v>0.13182058421006854</v>
      </c>
      <c r="AC7" s="37">
        <f>AC4/AC3</f>
        <v>0.12571251742528458</v>
      </c>
      <c r="AD7" s="62"/>
      <c r="AE7" s="63"/>
      <c r="AF7" s="63"/>
    </row>
    <row r="8" spans="1:36" s="8" customFormat="1" x14ac:dyDescent="0.35">
      <c r="A8" s="8" t="s">
        <v>245</v>
      </c>
      <c r="B8" s="28"/>
      <c r="C8" s="28"/>
      <c r="D8" s="28"/>
      <c r="E8" s="28"/>
      <c r="F8" s="28"/>
      <c r="G8" s="28"/>
      <c r="H8" s="37">
        <f t="shared" ref="H8:I8" si="6">H5/H3</f>
        <v>1.1893217641423247E-2</v>
      </c>
      <c r="I8" s="37">
        <f t="shared" si="6"/>
        <v>2.8266520984636462E-2</v>
      </c>
      <c r="J8" s="28"/>
      <c r="N8" s="28"/>
      <c r="O8" s="28"/>
      <c r="P8" s="37"/>
      <c r="Q8" s="28"/>
      <c r="R8" s="28"/>
      <c r="S8" s="37"/>
      <c r="T8" s="37"/>
      <c r="U8" s="37"/>
      <c r="V8" s="37">
        <f t="shared" ref="V8:AA8" si="7">V5/V3</f>
        <v>1.313812365577293E-3</v>
      </c>
      <c r="W8" s="37">
        <f t="shared" si="7"/>
        <v>3.8558270922009097E-3</v>
      </c>
      <c r="X8" s="37">
        <f t="shared" si="7"/>
        <v>7.9989003400591716E-3</v>
      </c>
      <c r="Y8" s="37">
        <f t="shared" si="7"/>
        <v>1.1893217641423247E-2</v>
      </c>
      <c r="Z8" s="37">
        <f t="shared" si="7"/>
        <v>1.5194012468280168E-2</v>
      </c>
      <c r="AA8" s="37">
        <f t="shared" si="7"/>
        <v>1.9587242519674686E-2</v>
      </c>
      <c r="AB8" s="37">
        <f>AB5/AB3</f>
        <v>2.4072349958019667E-2</v>
      </c>
      <c r="AC8" s="37">
        <f>AC5/AC3</f>
        <v>2.8266520984636462E-2</v>
      </c>
      <c r="AD8" s="62"/>
      <c r="AE8" s="63"/>
      <c r="AF8" s="63"/>
    </row>
    <row r="9" spans="1:36" x14ac:dyDescent="0.35">
      <c r="G9" s="16"/>
      <c r="H9" s="16"/>
      <c r="I9" s="16"/>
      <c r="P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6" x14ac:dyDescent="0.35">
      <c r="A10" s="1" t="s">
        <v>5</v>
      </c>
      <c r="B10" s="29">
        <v>1.02</v>
      </c>
      <c r="C10" s="29">
        <v>1.01</v>
      </c>
      <c r="D10" s="29">
        <v>1.01</v>
      </c>
      <c r="E10" s="29">
        <v>1</v>
      </c>
      <c r="F10" s="29">
        <v>1.01</v>
      </c>
      <c r="G10" s="29">
        <f>U10</f>
        <v>1.05</v>
      </c>
      <c r="H10" s="29">
        <f>Y10</f>
        <v>1.1100000000000001</v>
      </c>
      <c r="I10" s="29">
        <f>AC10</f>
        <v>1.1499999999999999</v>
      </c>
      <c r="J10" s="30">
        <f>I10/H10-1</f>
        <v>3.603603603603589E-2</v>
      </c>
      <c r="N10" s="29">
        <v>1</v>
      </c>
      <c r="O10" s="29">
        <v>1.01</v>
      </c>
      <c r="P10" s="29">
        <v>1.0052942618539171</v>
      </c>
      <c r="Q10" s="29">
        <f>F10</f>
        <v>1.01</v>
      </c>
      <c r="R10" s="29">
        <v>1.01</v>
      </c>
      <c r="S10" s="29">
        <v>1.02</v>
      </c>
      <c r="T10" s="29">
        <v>1.04</v>
      </c>
      <c r="U10" s="29">
        <v>1.05</v>
      </c>
      <c r="V10" s="29">
        <v>1.07</v>
      </c>
      <c r="W10" s="29">
        <v>1.0900000000000001</v>
      </c>
      <c r="X10" s="29">
        <v>1.0960000000000001</v>
      </c>
      <c r="Y10" s="29">
        <v>1.1100000000000001</v>
      </c>
      <c r="Z10" s="29">
        <v>1.1200000000000001</v>
      </c>
      <c r="AA10" s="29">
        <v>1.1299999999999999</v>
      </c>
      <c r="AB10" s="29">
        <v>1.1399999999999999</v>
      </c>
      <c r="AC10" s="29">
        <v>1.1499999999999999</v>
      </c>
      <c r="AD10" s="68"/>
    </row>
    <row r="11" spans="1:36" x14ac:dyDescent="0.35">
      <c r="AD11" s="69"/>
    </row>
    <row r="12" spans="1:36" x14ac:dyDescent="0.35">
      <c r="A12" s="25" t="s">
        <v>231</v>
      </c>
      <c r="B12" s="26">
        <v>0</v>
      </c>
      <c r="C12" s="26">
        <v>0</v>
      </c>
      <c r="D12" s="26">
        <v>2756</v>
      </c>
      <c r="E12" s="26">
        <v>3574</v>
      </c>
      <c r="F12" s="26">
        <v>3003</v>
      </c>
      <c r="G12" s="26">
        <f>SUM(R12:U12)</f>
        <v>4646.2</v>
      </c>
      <c r="H12" s="26">
        <f>SUM(V12:Y12)</f>
        <v>2892.64</v>
      </c>
      <c r="I12" s="26">
        <f>SUM(Z12:AC12)</f>
        <v>4141.1900000000005</v>
      </c>
      <c r="J12" s="30">
        <f>I12/H12-1</f>
        <v>0.43162992975275194</v>
      </c>
      <c r="N12" s="26">
        <v>1844</v>
      </c>
      <c r="O12" s="26">
        <v>0</v>
      </c>
      <c r="P12" s="29">
        <v>0</v>
      </c>
      <c r="Q12" s="26">
        <v>1159</v>
      </c>
      <c r="R12" s="26">
        <v>1183.3</v>
      </c>
      <c r="S12" s="26">
        <v>1273</v>
      </c>
      <c r="T12" s="26">
        <v>1140.2</v>
      </c>
      <c r="U12" s="26">
        <v>1049.7</v>
      </c>
      <c r="V12" s="35">
        <v>802.4</v>
      </c>
      <c r="W12" s="35">
        <v>691.09</v>
      </c>
      <c r="X12" s="35">
        <v>593.21</v>
      </c>
      <c r="Y12" s="35">
        <v>805.94</v>
      </c>
      <c r="Z12" s="35">
        <v>793.18</v>
      </c>
      <c r="AA12" s="35">
        <v>969.2</v>
      </c>
      <c r="AB12" s="35">
        <v>1346.84</v>
      </c>
      <c r="AC12" s="35">
        <v>1031.97</v>
      </c>
      <c r="AD12"/>
      <c r="AE12" s="69"/>
      <c r="AF12" s="69"/>
      <c r="AG12" s="111"/>
    </row>
    <row r="13" spans="1:36" x14ac:dyDescent="0.35">
      <c r="A13" s="25" t="s">
        <v>247</v>
      </c>
      <c r="B13" s="26"/>
      <c r="C13" s="26"/>
      <c r="D13" s="26"/>
      <c r="E13" s="26"/>
      <c r="F13" s="26"/>
      <c r="G13" s="26"/>
      <c r="H13" s="26">
        <f>SUM(V13:Y13)</f>
        <v>890.85000000000014</v>
      </c>
      <c r="I13" s="26">
        <f>SUM(Z13:AC13)</f>
        <v>2136.83</v>
      </c>
      <c r="J13" s="30">
        <f>IFERROR(I13/H13-1,"")</f>
        <v>1.3986417466464607</v>
      </c>
      <c r="N13" s="26"/>
      <c r="O13" s="26"/>
      <c r="P13" s="29"/>
      <c r="Q13" s="26"/>
      <c r="R13" s="26"/>
      <c r="S13" s="26"/>
      <c r="T13" s="26"/>
      <c r="U13" s="26"/>
      <c r="V13" s="35">
        <v>76.709999999999994</v>
      </c>
      <c r="W13" s="35">
        <v>165.84</v>
      </c>
      <c r="X13" s="35">
        <v>300.64</v>
      </c>
      <c r="Y13" s="35">
        <v>347.66</v>
      </c>
      <c r="Z13" s="35">
        <v>350.27</v>
      </c>
      <c r="AA13" s="35">
        <v>502.39</v>
      </c>
      <c r="AB13" s="35">
        <v>608.57000000000005</v>
      </c>
      <c r="AC13" s="35">
        <v>675.6</v>
      </c>
      <c r="AD13"/>
      <c r="AE13" s="69"/>
      <c r="AF13" s="69"/>
      <c r="AG13" s="111"/>
      <c r="AH13" s="111"/>
      <c r="AI13" s="111"/>
      <c r="AJ13" s="111"/>
    </row>
    <row r="14" spans="1:36" x14ac:dyDescent="0.35">
      <c r="W14" s="67"/>
      <c r="X14" s="67"/>
      <c r="Y14" s="67"/>
      <c r="Z14" s="67"/>
      <c r="AA14" s="67"/>
      <c r="AB14" s="67"/>
      <c r="AC14" s="67"/>
      <c r="AG14" s="117"/>
      <c r="AH14" s="118"/>
    </row>
    <row r="15" spans="1:36" x14ac:dyDescent="0.35">
      <c r="A15" s="1" t="s">
        <v>77</v>
      </c>
      <c r="B15" s="26">
        <v>4243.57</v>
      </c>
      <c r="C15" s="26">
        <v>7455.29</v>
      </c>
      <c r="D15" s="26">
        <v>15728.21</v>
      </c>
      <c r="E15" s="26">
        <v>16182.88</v>
      </c>
      <c r="F15" s="26">
        <v>10966.13</v>
      </c>
      <c r="G15" s="26">
        <f>SUM(R15:U15)</f>
        <v>20305.298867000001</v>
      </c>
      <c r="H15" s="26">
        <f>SUM(V15:Y15)</f>
        <v>30129.120000000003</v>
      </c>
      <c r="I15" s="26">
        <f>SUM(Z15:AC15)</f>
        <v>39633.97</v>
      </c>
      <c r="J15" s="30">
        <f>I15/H15-1</f>
        <v>0.31547054809433517</v>
      </c>
      <c r="N15" s="26">
        <v>528.07000000000005</v>
      </c>
      <c r="O15" s="26">
        <v>2431.41</v>
      </c>
      <c r="P15" s="26">
        <v>3488.2687700000006</v>
      </c>
      <c r="Q15" s="26">
        <v>4518.3900000000003</v>
      </c>
      <c r="R15" s="26">
        <v>3046.26</v>
      </c>
      <c r="S15" s="26">
        <v>5151.66</v>
      </c>
      <c r="T15" s="26">
        <v>5696.2588670000005</v>
      </c>
      <c r="U15" s="26">
        <v>6411.12</v>
      </c>
      <c r="V15" s="26">
        <v>6611.89</v>
      </c>
      <c r="W15" s="26">
        <v>7021.59</v>
      </c>
      <c r="X15" s="26">
        <v>7804.42</v>
      </c>
      <c r="Y15" s="26">
        <v>8691.2199999999993</v>
      </c>
      <c r="Z15" s="26">
        <v>8951.51</v>
      </c>
      <c r="AA15" s="26">
        <v>9591.49</v>
      </c>
      <c r="AB15" s="26">
        <v>10071.65</v>
      </c>
      <c r="AC15" s="26">
        <v>11019.32</v>
      </c>
      <c r="AD15" s="69">
        <f>IFERROR(AC15/Y15-1,"")</f>
        <v>0.26786803233608181</v>
      </c>
      <c r="AE15" s="69">
        <f>IFERROR(AC15/AB15-1,"")</f>
        <v>9.4092824909523198E-2</v>
      </c>
      <c r="AF15" s="69"/>
      <c r="AG15" s="117"/>
      <c r="AH15" s="118"/>
    </row>
    <row r="16" spans="1:36" x14ac:dyDescent="0.35">
      <c r="A16" s="1" t="s">
        <v>78</v>
      </c>
      <c r="B16" s="26">
        <v>9747</v>
      </c>
      <c r="C16" s="26">
        <v>15723</v>
      </c>
      <c r="D16" s="26">
        <v>29372</v>
      </c>
      <c r="E16" s="26">
        <v>43094</v>
      </c>
      <c r="F16" s="26">
        <v>50417</v>
      </c>
      <c r="G16" s="26">
        <f>U16</f>
        <v>62055</v>
      </c>
      <c r="H16" s="26">
        <f>Y16</f>
        <v>77927</v>
      </c>
      <c r="I16" s="26">
        <f>AC16</f>
        <v>95974</v>
      </c>
      <c r="J16" s="30">
        <f>I16/H16-1</f>
        <v>0.23158853799068368</v>
      </c>
      <c r="N16" s="26">
        <v>43205</v>
      </c>
      <c r="O16" s="26">
        <v>44796</v>
      </c>
      <c r="P16" s="26">
        <v>47440</v>
      </c>
      <c r="Q16" s="26">
        <f>F16</f>
        <v>50417</v>
      </c>
      <c r="R16" s="26">
        <v>52042</v>
      </c>
      <c r="S16" s="26">
        <v>55243</v>
      </c>
      <c r="T16" s="26">
        <v>58615</v>
      </c>
      <c r="U16" s="26">
        <v>62055</v>
      </c>
      <c r="V16" s="26">
        <v>65638</v>
      </c>
      <c r="W16" s="26">
        <v>69395</v>
      </c>
      <c r="X16" s="26">
        <v>73551</v>
      </c>
      <c r="Y16" s="26">
        <v>77927</v>
      </c>
      <c r="Z16" s="26">
        <v>82266</v>
      </c>
      <c r="AA16" s="26">
        <v>86542</v>
      </c>
      <c r="AB16" s="26">
        <v>91305</v>
      </c>
      <c r="AC16" s="26">
        <v>95974</v>
      </c>
      <c r="AD16" s="69">
        <f>IFERROR(AC16/Y16-1,"")</f>
        <v>0.23158853799068368</v>
      </c>
      <c r="AE16" s="69">
        <f>IFERROR(AC16/AB16-1,"")</f>
        <v>5.113630140737091E-2</v>
      </c>
      <c r="AF16" s="69"/>
    </row>
    <row r="17" spans="1:34" x14ac:dyDescent="0.35">
      <c r="N17" s="11"/>
      <c r="O17" s="11"/>
      <c r="P17" s="81"/>
      <c r="Q17" s="11"/>
      <c r="R17" s="1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</row>
    <row r="18" spans="1:34" s="2" customFormat="1" x14ac:dyDescent="0.35">
      <c r="A18" s="2" t="s">
        <v>142</v>
      </c>
      <c r="B18" s="4"/>
      <c r="C18" s="4"/>
      <c r="D18" s="4"/>
      <c r="E18" s="4"/>
      <c r="F18" s="4"/>
      <c r="G18" s="4"/>
      <c r="H18" s="4"/>
      <c r="I18" s="4"/>
      <c r="J18" s="4"/>
      <c r="N18" s="53"/>
      <c r="O18" s="53"/>
      <c r="P18" s="34"/>
      <c r="Q18" s="53"/>
      <c r="R18" s="53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70"/>
      <c r="AE18" s="70"/>
      <c r="AF18" s="70"/>
    </row>
    <row r="19" spans="1:34" x14ac:dyDescent="0.35">
      <c r="A19" s="1" t="s">
        <v>141</v>
      </c>
      <c r="B19" s="30">
        <v>0.13200000000000001</v>
      </c>
      <c r="C19" s="30">
        <v>0.126</v>
      </c>
      <c r="D19" s="30">
        <v>0.123</v>
      </c>
      <c r="E19" s="30">
        <v>0.129</v>
      </c>
      <c r="F19" s="30">
        <v>0.13</v>
      </c>
      <c r="G19" s="30">
        <v>0.128</v>
      </c>
      <c r="H19" s="30">
        <v>0.13100000000000001</v>
      </c>
      <c r="I19" s="30">
        <v>0.13600000000000001</v>
      </c>
      <c r="J19" s="30"/>
      <c r="N19" s="30">
        <v>0.1305</v>
      </c>
      <c r="O19" s="30">
        <v>0.1305</v>
      </c>
      <c r="P19" s="30">
        <v>0.13009999999999999</v>
      </c>
      <c r="Q19" s="30">
        <v>0.12809999999999999</v>
      </c>
      <c r="R19" s="30">
        <v>0.12740000000000001</v>
      </c>
      <c r="S19" s="30">
        <v>0.12759999999999999</v>
      </c>
      <c r="T19" s="30">
        <v>0.128</v>
      </c>
      <c r="U19" s="30">
        <v>0.12770000000000001</v>
      </c>
      <c r="V19" s="30">
        <v>0.12740000000000001</v>
      </c>
      <c r="W19" s="30">
        <v>0.12977338528662619</v>
      </c>
      <c r="X19" s="30">
        <v>0.13100000000000001</v>
      </c>
      <c r="Y19" s="30">
        <v>0.13400000000000001</v>
      </c>
      <c r="Z19" s="30">
        <v>0.13700000000000001</v>
      </c>
      <c r="AA19" s="30">
        <v>0.13600000000000001</v>
      </c>
      <c r="AB19" s="30">
        <v>0.13500000000000001</v>
      </c>
      <c r="AC19" s="30">
        <v>0.13500000000000001</v>
      </c>
    </row>
    <row r="20" spans="1:34" x14ac:dyDescent="0.35">
      <c r="A20" s="1" t="s">
        <v>146</v>
      </c>
      <c r="B20" s="30">
        <f>B143</f>
        <v>0.10199999999999999</v>
      </c>
      <c r="C20" s="30">
        <f>C143</f>
        <v>8.7999999999999995E-2</v>
      </c>
      <c r="D20" s="30">
        <f>D143</f>
        <v>8.4000000000000005E-2</v>
      </c>
      <c r="E20" s="30">
        <f>E143</f>
        <v>8.7999999999999995E-2</v>
      </c>
      <c r="F20" s="30">
        <f>F143</f>
        <v>0.08</v>
      </c>
      <c r="G20" s="30">
        <v>7.1999999999999995E-2</v>
      </c>
      <c r="H20" s="30">
        <v>7.3999999999999996E-2</v>
      </c>
      <c r="I20" s="30">
        <v>8.2000000000000003E-2</v>
      </c>
      <c r="J20" s="30"/>
      <c r="N20" s="30">
        <v>8.5000000000000006E-2</v>
      </c>
      <c r="O20" s="30">
        <v>8.2699999999999996E-2</v>
      </c>
      <c r="P20" s="30">
        <v>8.0299999999999996E-2</v>
      </c>
      <c r="Q20" s="30">
        <v>7.4200000000000002E-2</v>
      </c>
      <c r="R20" s="30">
        <v>7.17E-2</v>
      </c>
      <c r="S20" s="30">
        <v>7.1300000000000002E-2</v>
      </c>
      <c r="T20" s="30">
        <v>7.1599999999999997E-2</v>
      </c>
      <c r="U20" s="30">
        <v>7.1499999999999994E-2</v>
      </c>
      <c r="V20" s="30">
        <v>6.93E-2</v>
      </c>
      <c r="W20" s="30">
        <v>7.1326876000869593E-2</v>
      </c>
      <c r="X20" s="30">
        <v>7.3999999999999996E-2</v>
      </c>
      <c r="Y20" s="30">
        <v>7.9000000000000001E-2</v>
      </c>
      <c r="Z20" s="30">
        <v>0.08</v>
      </c>
      <c r="AA20" s="30">
        <v>8.1000000000000003E-2</v>
      </c>
      <c r="AB20" s="30">
        <v>8.2000000000000003E-2</v>
      </c>
      <c r="AC20" s="30">
        <v>8.3000000000000004E-2</v>
      </c>
    </row>
    <row r="21" spans="1:34" x14ac:dyDescent="0.35">
      <c r="A21" s="1" t="s">
        <v>1</v>
      </c>
      <c r="B21" s="45">
        <f t="shared" ref="B21:G21" si="8">B19-B20</f>
        <v>3.0000000000000013E-2</v>
      </c>
      <c r="C21" s="45">
        <f t="shared" si="8"/>
        <v>3.8000000000000006E-2</v>
      </c>
      <c r="D21" s="45">
        <f t="shared" si="8"/>
        <v>3.8999999999999993E-2</v>
      </c>
      <c r="E21" s="45">
        <f t="shared" si="8"/>
        <v>4.1000000000000009E-2</v>
      </c>
      <c r="F21" s="45">
        <f t="shared" si="8"/>
        <v>0.05</v>
      </c>
      <c r="G21" s="45">
        <f t="shared" si="8"/>
        <v>5.6000000000000008E-2</v>
      </c>
      <c r="H21" s="45">
        <f>H19-H20</f>
        <v>5.7000000000000009E-2</v>
      </c>
      <c r="I21" s="45">
        <f>I19-I20</f>
        <v>5.4000000000000006E-2</v>
      </c>
      <c r="J21" s="45"/>
      <c r="N21" s="45">
        <f t="shared" ref="N21:U21" si="9">N19-N20</f>
        <v>4.5499999999999999E-2</v>
      </c>
      <c r="O21" s="45">
        <f t="shared" si="9"/>
        <v>4.7800000000000009E-2</v>
      </c>
      <c r="P21" s="45">
        <f t="shared" si="9"/>
        <v>4.9799999999999997E-2</v>
      </c>
      <c r="Q21" s="45">
        <f t="shared" si="9"/>
        <v>5.389999999999999E-2</v>
      </c>
      <c r="R21" s="45">
        <f t="shared" si="9"/>
        <v>5.5700000000000013E-2</v>
      </c>
      <c r="S21" s="45">
        <f t="shared" si="9"/>
        <v>5.6299999999999989E-2</v>
      </c>
      <c r="T21" s="45">
        <f>T19-T20</f>
        <v>5.6400000000000006E-2</v>
      </c>
      <c r="U21" s="45">
        <f t="shared" si="9"/>
        <v>5.6200000000000014E-2</v>
      </c>
      <c r="V21" s="45">
        <f t="shared" ref="V21" si="10">V19-V20</f>
        <v>5.8100000000000013E-2</v>
      </c>
      <c r="W21" s="45">
        <f t="shared" ref="W21:AA21" si="11">W19-W20</f>
        <v>5.8446509285756593E-2</v>
      </c>
      <c r="X21" s="45">
        <f t="shared" si="11"/>
        <v>5.7000000000000009E-2</v>
      </c>
      <c r="Y21" s="45">
        <f t="shared" si="11"/>
        <v>5.5000000000000007E-2</v>
      </c>
      <c r="Z21" s="45">
        <f t="shared" si="11"/>
        <v>5.7000000000000009E-2</v>
      </c>
      <c r="AA21" s="45">
        <f t="shared" si="11"/>
        <v>5.5000000000000007E-2</v>
      </c>
      <c r="AB21" s="45">
        <f>AB19-AB20</f>
        <v>5.3000000000000005E-2</v>
      </c>
      <c r="AC21" s="45">
        <f>AC19-AC20</f>
        <v>5.2000000000000005E-2</v>
      </c>
    </row>
    <row r="22" spans="1:34" x14ac:dyDescent="0.35">
      <c r="B22" s="11"/>
      <c r="C22" s="11"/>
      <c r="D22" s="11"/>
      <c r="E22" s="11"/>
      <c r="F22" s="11"/>
      <c r="G22" s="11"/>
      <c r="H22" s="11"/>
      <c r="I22" s="11"/>
      <c r="J22" s="11"/>
      <c r="N22" s="49"/>
      <c r="O22" s="49"/>
      <c r="P22" s="81"/>
      <c r="Q22" s="77"/>
      <c r="R22" s="77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</row>
    <row r="23" spans="1:34" s="2" customFormat="1" x14ac:dyDescent="0.35">
      <c r="A23" s="2" t="s">
        <v>253</v>
      </c>
      <c r="B23" s="4"/>
      <c r="C23" s="4"/>
      <c r="D23" s="4"/>
      <c r="E23" s="4"/>
      <c r="F23" s="4"/>
      <c r="G23" s="4"/>
      <c r="H23" s="4"/>
      <c r="I23" s="4"/>
      <c r="J23" s="4"/>
      <c r="N23" s="53"/>
      <c r="O23" s="53"/>
      <c r="P23" s="34"/>
      <c r="Q23" s="53"/>
      <c r="R23" s="53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70"/>
      <c r="AE23" s="70"/>
      <c r="AF23" s="70"/>
    </row>
    <row r="24" spans="1:34" x14ac:dyDescent="0.35">
      <c r="A24" s="1" t="s">
        <v>141</v>
      </c>
      <c r="B24" s="30">
        <f>B19</f>
        <v>0.13200000000000001</v>
      </c>
      <c r="C24" s="30">
        <f t="shared" ref="C24:G25" si="12">C19</f>
        <v>0.126</v>
      </c>
      <c r="D24" s="30">
        <f t="shared" si="12"/>
        <v>0.123</v>
      </c>
      <c r="E24" s="30">
        <f t="shared" si="12"/>
        <v>0.129</v>
      </c>
      <c r="F24" s="30">
        <f t="shared" si="12"/>
        <v>0.13</v>
      </c>
      <c r="G24" s="30">
        <f t="shared" si="12"/>
        <v>0.128</v>
      </c>
      <c r="H24" s="30">
        <v>0.13100000000000001</v>
      </c>
      <c r="I24" s="30">
        <v>0.13600000000000001</v>
      </c>
      <c r="J24" s="30"/>
      <c r="N24" s="30">
        <v>0.1305</v>
      </c>
      <c r="O24" s="30">
        <v>0.1305</v>
      </c>
      <c r="P24" s="30">
        <v>0.13009999999999999</v>
      </c>
      <c r="Q24" s="30">
        <v>0.12809999999999999</v>
      </c>
      <c r="R24" s="30">
        <v>0.12740000000000001</v>
      </c>
      <c r="S24" s="30">
        <v>0.12759999999999999</v>
      </c>
      <c r="T24" s="30">
        <v>0.128</v>
      </c>
      <c r="U24" s="30">
        <v>0.12770000000000001</v>
      </c>
      <c r="V24" s="30">
        <v>0.127</v>
      </c>
      <c r="W24" s="30">
        <v>0.13</v>
      </c>
      <c r="X24" s="30">
        <v>0.13100000000000001</v>
      </c>
      <c r="Y24" s="30">
        <v>0.13400000000000001</v>
      </c>
      <c r="Z24" s="30">
        <v>0.13700000000000001</v>
      </c>
      <c r="AA24" s="30">
        <v>0.13700000000000001</v>
      </c>
      <c r="AB24" s="30">
        <v>0.13700000000000001</v>
      </c>
      <c r="AC24" s="30">
        <v>0.13600000000000001</v>
      </c>
    </row>
    <row r="25" spans="1:34" x14ac:dyDescent="0.35">
      <c r="A25" s="1" t="s">
        <v>146</v>
      </c>
      <c r="B25" s="30">
        <f>B20</f>
        <v>0.10199999999999999</v>
      </c>
      <c r="C25" s="30">
        <f t="shared" si="12"/>
        <v>8.7999999999999995E-2</v>
      </c>
      <c r="D25" s="30">
        <f t="shared" si="12"/>
        <v>8.4000000000000005E-2</v>
      </c>
      <c r="E25" s="30">
        <f t="shared" si="12"/>
        <v>8.7999999999999995E-2</v>
      </c>
      <c r="F25" s="30">
        <f t="shared" si="12"/>
        <v>0.08</v>
      </c>
      <c r="G25" s="30">
        <f t="shared" si="12"/>
        <v>7.1999999999999995E-2</v>
      </c>
      <c r="H25" s="30">
        <v>7.3999999999999996E-2</v>
      </c>
      <c r="I25" s="30">
        <v>8.1000000000000003E-2</v>
      </c>
      <c r="J25" s="30"/>
      <c r="N25" s="30">
        <v>8.5000000000000006E-2</v>
      </c>
      <c r="O25" s="30">
        <v>8.2699999999999996E-2</v>
      </c>
      <c r="P25" s="30">
        <v>8.0299999999999996E-2</v>
      </c>
      <c r="Q25" s="30">
        <v>7.4200000000000002E-2</v>
      </c>
      <c r="R25" s="30">
        <v>7.17E-2</v>
      </c>
      <c r="S25" s="30">
        <v>7.1300000000000002E-2</v>
      </c>
      <c r="T25" s="30">
        <v>7.1599999999999997E-2</v>
      </c>
      <c r="U25" s="30">
        <v>7.1499999999999994E-2</v>
      </c>
      <c r="V25" s="30">
        <v>6.9000000000000006E-2</v>
      </c>
      <c r="W25" s="30">
        <v>7.0999999999999994E-2</v>
      </c>
      <c r="X25" s="30">
        <v>7.3999999999999996E-2</v>
      </c>
      <c r="Y25" s="30">
        <v>7.9000000000000001E-2</v>
      </c>
      <c r="Z25" s="30">
        <v>0.08</v>
      </c>
      <c r="AA25" s="30">
        <v>8.1000000000000003E-2</v>
      </c>
      <c r="AB25" s="30">
        <v>8.2000000000000003E-2</v>
      </c>
      <c r="AC25" s="30">
        <v>8.2000000000000003E-2</v>
      </c>
    </row>
    <row r="26" spans="1:34" x14ac:dyDescent="0.35">
      <c r="A26" s="1" t="s">
        <v>1</v>
      </c>
      <c r="B26" s="45">
        <f t="shared" ref="B26:G26" si="13">B24-B25</f>
        <v>3.0000000000000013E-2</v>
      </c>
      <c r="C26" s="45">
        <f t="shared" si="13"/>
        <v>3.8000000000000006E-2</v>
      </c>
      <c r="D26" s="45">
        <f t="shared" si="13"/>
        <v>3.8999999999999993E-2</v>
      </c>
      <c r="E26" s="45">
        <f t="shared" si="13"/>
        <v>4.1000000000000009E-2</v>
      </c>
      <c r="F26" s="45">
        <f t="shared" si="13"/>
        <v>0.05</v>
      </c>
      <c r="G26" s="45">
        <f t="shared" si="13"/>
        <v>5.6000000000000008E-2</v>
      </c>
      <c r="H26" s="45">
        <f>H24-H25</f>
        <v>5.7000000000000009E-2</v>
      </c>
      <c r="I26" s="45">
        <f>I24-I25</f>
        <v>5.5000000000000007E-2</v>
      </c>
      <c r="J26" s="45"/>
      <c r="N26" s="45">
        <f t="shared" ref="N26:S26" si="14">N24-N25</f>
        <v>4.5499999999999999E-2</v>
      </c>
      <c r="O26" s="45">
        <f t="shared" si="14"/>
        <v>4.7800000000000009E-2</v>
      </c>
      <c r="P26" s="45">
        <f t="shared" si="14"/>
        <v>4.9799999999999997E-2</v>
      </c>
      <c r="Q26" s="45">
        <f t="shared" si="14"/>
        <v>5.389999999999999E-2</v>
      </c>
      <c r="R26" s="45">
        <f t="shared" si="14"/>
        <v>5.5700000000000013E-2</v>
      </c>
      <c r="S26" s="45">
        <f t="shared" si="14"/>
        <v>5.6299999999999989E-2</v>
      </c>
      <c r="T26" s="45">
        <f>T24-T25</f>
        <v>5.6400000000000006E-2</v>
      </c>
      <c r="U26" s="45">
        <f t="shared" ref="U26:AA26" si="15">U24-U25</f>
        <v>5.6200000000000014E-2</v>
      </c>
      <c r="V26" s="45">
        <f t="shared" si="15"/>
        <v>5.7999999999999996E-2</v>
      </c>
      <c r="W26" s="45">
        <f t="shared" si="15"/>
        <v>5.9000000000000011E-2</v>
      </c>
      <c r="X26" s="45">
        <f t="shared" si="15"/>
        <v>5.7000000000000009E-2</v>
      </c>
      <c r="Y26" s="45">
        <f t="shared" si="15"/>
        <v>5.5000000000000007E-2</v>
      </c>
      <c r="Z26" s="45">
        <f t="shared" si="15"/>
        <v>5.7000000000000009E-2</v>
      </c>
      <c r="AA26" s="45">
        <f t="shared" si="15"/>
        <v>5.6000000000000008E-2</v>
      </c>
      <c r="AB26" s="45">
        <f>AB24-AB25</f>
        <v>5.5000000000000007E-2</v>
      </c>
      <c r="AC26" s="45">
        <f>AC24-AC25</f>
        <v>5.4000000000000006E-2</v>
      </c>
    </row>
    <row r="28" spans="1:34" s="5" customFormat="1" x14ac:dyDescent="0.35">
      <c r="A28" s="5" t="s">
        <v>136</v>
      </c>
      <c r="B28" s="6"/>
      <c r="C28" s="6"/>
      <c r="D28" s="6"/>
      <c r="E28" s="6"/>
      <c r="F28" s="6"/>
      <c r="G28" s="6"/>
      <c r="H28" s="6"/>
      <c r="I28" s="6"/>
      <c r="J28" s="6"/>
      <c r="N28" s="6"/>
      <c r="O28" s="6"/>
      <c r="P28" s="80"/>
      <c r="Q28" s="6"/>
      <c r="R28" s="6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66"/>
      <c r="AE28" s="66"/>
      <c r="AF28" s="66"/>
    </row>
    <row r="29" spans="1:34" s="2" customFormat="1" x14ac:dyDescent="0.35">
      <c r="A29" s="2" t="s">
        <v>108</v>
      </c>
      <c r="B29" s="4" t="str">
        <f t="shared" ref="B29:G29" si="16">B1</f>
        <v>FY17</v>
      </c>
      <c r="C29" s="4" t="str">
        <f t="shared" si="16"/>
        <v>FY18</v>
      </c>
      <c r="D29" s="4" t="str">
        <f t="shared" si="16"/>
        <v>FY19</v>
      </c>
      <c r="E29" s="4" t="str">
        <f t="shared" si="16"/>
        <v>FY20</v>
      </c>
      <c r="F29" s="4" t="str">
        <f t="shared" si="16"/>
        <v>FY21</v>
      </c>
      <c r="G29" s="4" t="str">
        <f t="shared" si="16"/>
        <v>FY22</v>
      </c>
      <c r="H29" s="4" t="str">
        <f t="shared" ref="H29:I29" si="17">H1</f>
        <v>FY23</v>
      </c>
      <c r="I29" s="4" t="str">
        <f t="shared" si="17"/>
        <v>FY24</v>
      </c>
      <c r="J29" s="4"/>
      <c r="N29" s="4" t="str">
        <f t="shared" ref="N29:AE29" si="18">N1</f>
        <v>Q1FY21</v>
      </c>
      <c r="O29" s="4" t="str">
        <f t="shared" si="18"/>
        <v>Q2FY21</v>
      </c>
      <c r="P29" s="34" t="str">
        <f t="shared" si="18"/>
        <v>Q3FY21</v>
      </c>
      <c r="Q29" s="4" t="str">
        <f t="shared" si="18"/>
        <v>Q4FY21</v>
      </c>
      <c r="R29" s="4" t="str">
        <f t="shared" si="18"/>
        <v>Q1FY22</v>
      </c>
      <c r="S29" s="34" t="str">
        <f t="shared" si="18"/>
        <v>Q2FY22</v>
      </c>
      <c r="T29" s="34" t="str">
        <f>T1</f>
        <v>Q3FY22</v>
      </c>
      <c r="U29" s="34" t="str">
        <f t="shared" si="18"/>
        <v>Q4FY22</v>
      </c>
      <c r="V29" s="34" t="str">
        <f t="shared" ref="V29:W29" si="19">V1</f>
        <v>Q1FY23</v>
      </c>
      <c r="W29" s="34" t="str">
        <f t="shared" si="19"/>
        <v>Q2FY23</v>
      </c>
      <c r="X29" s="34" t="str">
        <f t="shared" ref="X29:Y29" si="20">X1</f>
        <v>Q3FY23</v>
      </c>
      <c r="Y29" s="34" t="str">
        <f t="shared" si="20"/>
        <v>Q4FY23</v>
      </c>
      <c r="Z29" s="34" t="str">
        <f t="shared" ref="Z29:AA29" si="21">Z1</f>
        <v>Q1FY24</v>
      </c>
      <c r="AA29" s="34" t="str">
        <f t="shared" si="21"/>
        <v>Q2FY24</v>
      </c>
      <c r="AB29" s="34" t="str">
        <f t="shared" ref="AB29:AC29" si="22">AB1</f>
        <v>Q3FY24</v>
      </c>
      <c r="AC29" s="34" t="str">
        <f t="shared" si="22"/>
        <v>Q4FY24</v>
      </c>
      <c r="AD29" s="4" t="str">
        <f t="shared" si="18"/>
        <v>y-o-y</v>
      </c>
      <c r="AE29" s="4" t="str">
        <f t="shared" si="18"/>
        <v>q-o-q</v>
      </c>
      <c r="AF29" s="4"/>
    </row>
    <row r="30" spans="1:34" x14ac:dyDescent="0.35">
      <c r="A30" s="1" t="s">
        <v>49</v>
      </c>
      <c r="B30" s="11">
        <v>3.4000000000000002E-2</v>
      </c>
      <c r="C30" s="11">
        <v>3.0980000000000001E-2</v>
      </c>
      <c r="D30" s="11">
        <v>3.15E-2</v>
      </c>
      <c r="E30" s="11">
        <v>4.3799999999999999E-2</v>
      </c>
      <c r="F30" s="11">
        <v>6.2199999999999998E-2</v>
      </c>
      <c r="G30" s="11">
        <f>U30</f>
        <v>5.28E-2</v>
      </c>
      <c r="H30" s="11">
        <f>Y30</f>
        <v>3.9699999999999999E-2</v>
      </c>
      <c r="I30" s="11">
        <f>AC30</f>
        <v>4.1700000000000001E-2</v>
      </c>
      <c r="J30" s="11"/>
      <c r="N30" s="11">
        <v>0.02</v>
      </c>
      <c r="O30" s="11">
        <v>6.7000000000000004E-2</v>
      </c>
      <c r="P30" s="11">
        <v>7.4999999999999997E-2</v>
      </c>
      <c r="Q30" s="11">
        <v>6.2E-2</v>
      </c>
      <c r="R30" s="11">
        <v>8.8999999999999996E-2</v>
      </c>
      <c r="S30" s="11">
        <v>7.5999999999999998E-2</v>
      </c>
      <c r="T30" s="11">
        <v>6.5000000000000002E-2</v>
      </c>
      <c r="U30" s="11">
        <v>5.28E-2</v>
      </c>
      <c r="V30" s="11">
        <v>4.9700000000000001E-2</v>
      </c>
      <c r="W30" s="11">
        <v>4.7480000000000001E-2</v>
      </c>
      <c r="X30" s="11">
        <v>4.41E-2</v>
      </c>
      <c r="Y30" s="11">
        <v>3.9699999999999999E-2</v>
      </c>
      <c r="Z30" s="11">
        <v>4.2900000000000001E-2</v>
      </c>
      <c r="AA30" s="11">
        <v>4.4999999999999998E-2</v>
      </c>
      <c r="AB30" s="11">
        <v>4.5199999999999997E-2</v>
      </c>
      <c r="AC30" s="11">
        <v>4.1700000000000001E-2</v>
      </c>
    </row>
    <row r="31" spans="1:34" s="2" customFormat="1" x14ac:dyDescent="0.35">
      <c r="B31" s="4"/>
      <c r="C31" s="4"/>
      <c r="D31" s="4"/>
      <c r="E31" s="4"/>
      <c r="F31" s="4"/>
      <c r="G31" s="4"/>
      <c r="H31" s="4"/>
      <c r="I31" s="4"/>
      <c r="J31" s="4"/>
      <c r="N31" s="4"/>
      <c r="O31" s="4"/>
      <c r="P31" s="34"/>
      <c r="Q31" s="4"/>
      <c r="R31" s="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70"/>
      <c r="AE31" s="70"/>
      <c r="AF31" s="70"/>
    </row>
    <row r="32" spans="1:34" x14ac:dyDescent="0.35">
      <c r="A32" s="1" t="s">
        <v>50</v>
      </c>
      <c r="B32" s="26">
        <v>161.05000000000001</v>
      </c>
      <c r="C32" s="26">
        <v>182.47</v>
      </c>
      <c r="D32" s="26">
        <v>364.12000000000006</v>
      </c>
      <c r="E32" s="26">
        <v>596.68000000000006</v>
      </c>
      <c r="F32" s="26">
        <v>1394.9959999999999</v>
      </c>
      <c r="G32" s="26">
        <f>U32</f>
        <v>1588.68</v>
      </c>
      <c r="H32" s="26">
        <f>Y32</f>
        <v>1630.44</v>
      </c>
      <c r="I32" s="26">
        <f>AC32</f>
        <v>2309.23</v>
      </c>
      <c r="J32" s="26"/>
      <c r="K32" s="2"/>
      <c r="L32" s="2"/>
      <c r="N32" s="26">
        <v>419.79</v>
      </c>
      <c r="O32" s="26">
        <v>402.67</v>
      </c>
      <c r="P32" s="26">
        <v>1331.96</v>
      </c>
      <c r="Q32" s="26">
        <f>F32</f>
        <v>1394.9959999999999</v>
      </c>
      <c r="R32" s="35">
        <v>1986.22</v>
      </c>
      <c r="S32" s="35">
        <v>1917.16</v>
      </c>
      <c r="T32" s="35">
        <v>1893.88</v>
      </c>
      <c r="U32" s="35">
        <v>1588.68</v>
      </c>
      <c r="V32" s="35">
        <v>1676.81</v>
      </c>
      <c r="W32" s="35">
        <v>1691.5450000000001</v>
      </c>
      <c r="X32" s="35">
        <v>1677.29</v>
      </c>
      <c r="Y32" s="35">
        <v>1630.44</v>
      </c>
      <c r="Z32" s="35">
        <v>1918.97</v>
      </c>
      <c r="AA32" s="35">
        <v>2065.3000000000002</v>
      </c>
      <c r="AB32" s="35">
        <v>2278.9</v>
      </c>
      <c r="AC32" s="35">
        <v>2309.23</v>
      </c>
      <c r="AD32" s="69">
        <f>IFERROR(AC32/Y32-1,"")</f>
        <v>0.41632320109908982</v>
      </c>
      <c r="AE32" s="69">
        <f>IFERROR(AC32/AB32-1,"")</f>
        <v>1.3309052613102779E-2</v>
      </c>
      <c r="AF32" s="69"/>
      <c r="AH32" s="111"/>
    </row>
    <row r="33" spans="1:34" x14ac:dyDescent="0.35">
      <c r="A33" s="1" t="s">
        <v>7</v>
      </c>
      <c r="B33" s="11">
        <f t="shared" ref="B33:G33" si="23">B32/B6</f>
        <v>2.0311591543416108E-2</v>
      </c>
      <c r="C33" s="11">
        <f t="shared" si="23"/>
        <v>1.3882284737855568E-2</v>
      </c>
      <c r="D33" s="11">
        <f t="shared" si="23"/>
        <v>1.6962053856337759E-2</v>
      </c>
      <c r="E33" s="11">
        <f t="shared" si="23"/>
        <v>1.9623371241769876E-2</v>
      </c>
      <c r="F33" s="11">
        <f t="shared" si="23"/>
        <v>4.1372466559384632E-2</v>
      </c>
      <c r="G33" s="11">
        <f t="shared" si="23"/>
        <v>3.6508655833966827E-2</v>
      </c>
      <c r="H33" s="11">
        <f>H32/H6</f>
        <v>2.6939972459246522E-2</v>
      </c>
      <c r="I33" s="11">
        <f>I32/I6</f>
        <v>2.8118056801097531E-2</v>
      </c>
      <c r="J33" s="11"/>
      <c r="K33" s="2"/>
      <c r="L33" s="2"/>
      <c r="N33" s="57">
        <f t="shared" ref="N33:U33" si="24">N32/N6</f>
        <v>1.4475222745468282E-2</v>
      </c>
      <c r="O33" s="23">
        <f t="shared" si="24"/>
        <v>1.3368604910199243E-2</v>
      </c>
      <c r="P33" s="23">
        <f t="shared" si="24"/>
        <v>4.0958726502226733E-2</v>
      </c>
      <c r="Q33" s="11">
        <f t="shared" si="24"/>
        <v>4.1372466559384632E-2</v>
      </c>
      <c r="R33" s="11">
        <f t="shared" si="24"/>
        <v>5.7720446031403284E-2</v>
      </c>
      <c r="S33" s="11">
        <f t="shared" si="24"/>
        <v>5.2013517502430898E-2</v>
      </c>
      <c r="T33" s="11">
        <f>T32/T6</f>
        <v>4.7342242104668489E-2</v>
      </c>
      <c r="U33" s="11">
        <f t="shared" si="24"/>
        <v>3.6508655833966827E-2</v>
      </c>
      <c r="V33" s="11">
        <f t="shared" ref="V33:W33" si="25">V32/V6</f>
        <v>3.5169720997213369E-2</v>
      </c>
      <c r="W33" s="11">
        <f t="shared" si="25"/>
        <v>3.2560468658086254E-2</v>
      </c>
      <c r="X33" s="11">
        <f t="shared" ref="X33:AB33" si="26">X32/X6</f>
        <v>2.9696535118004283E-2</v>
      </c>
      <c r="Y33" s="11">
        <f t="shared" si="26"/>
        <v>2.6939972459246522E-2</v>
      </c>
      <c r="Z33" s="11">
        <f t="shared" si="26"/>
        <v>2.9166355087913848E-2</v>
      </c>
      <c r="AA33" s="11">
        <f t="shared" si="26"/>
        <v>2.9135932605186602E-2</v>
      </c>
      <c r="AB33" s="11">
        <f t="shared" si="26"/>
        <v>2.9929428328087686E-2</v>
      </c>
      <c r="AC33" s="11">
        <f>AC32/AC6</f>
        <v>2.8118056801097531E-2</v>
      </c>
      <c r="AG33" s="130"/>
      <c r="AH33" s="117"/>
    </row>
    <row r="34" spans="1:34" x14ac:dyDescent="0.35">
      <c r="U34" s="77"/>
      <c r="V34" s="77"/>
      <c r="W34" s="77"/>
      <c r="X34" s="77"/>
      <c r="Y34" s="77"/>
      <c r="Z34" s="77"/>
      <c r="AA34" s="77"/>
      <c r="AB34" s="77"/>
      <c r="AC34" s="77"/>
    </row>
    <row r="35" spans="1:34" x14ac:dyDescent="0.35">
      <c r="A35" s="1" t="s">
        <v>234</v>
      </c>
      <c r="B35" s="26"/>
      <c r="C35" s="26"/>
      <c r="D35" s="26"/>
      <c r="E35" s="26"/>
      <c r="F35" s="26"/>
      <c r="G35" s="26">
        <f>U35</f>
        <v>571.17999999999995</v>
      </c>
      <c r="H35" s="26">
        <f>Y35</f>
        <v>552.58000000000004</v>
      </c>
      <c r="I35" s="26">
        <f>AC35</f>
        <v>936.78</v>
      </c>
      <c r="J35" s="26"/>
      <c r="K35" s="2"/>
      <c r="L35" s="2"/>
      <c r="N35" s="26"/>
      <c r="O35" s="26"/>
      <c r="P35" s="26"/>
      <c r="Q35" s="26"/>
      <c r="R35" s="35"/>
      <c r="S35" s="35"/>
      <c r="T35" s="35">
        <v>684.4</v>
      </c>
      <c r="U35" s="35">
        <v>571.17999999999995</v>
      </c>
      <c r="V35" s="35">
        <v>576.41</v>
      </c>
      <c r="W35" s="35">
        <v>558.72</v>
      </c>
      <c r="X35" s="35">
        <v>617.61</v>
      </c>
      <c r="Y35" s="35">
        <v>552.58000000000004</v>
      </c>
      <c r="Z35" s="35">
        <v>677.77</v>
      </c>
      <c r="AA35" s="35">
        <v>762.99</v>
      </c>
      <c r="AB35" s="35">
        <v>859.82</v>
      </c>
      <c r="AC35" s="35">
        <v>936.78</v>
      </c>
      <c r="AD35" s="69">
        <f>IFERROR(AC35/Y35-1,"")</f>
        <v>0.69528394078685429</v>
      </c>
      <c r="AE35" s="69">
        <f>IFERROR(AC35/AB35-1,"")</f>
        <v>8.9507106138493997E-2</v>
      </c>
      <c r="AF35" s="69"/>
      <c r="AG35" s="119"/>
      <c r="AH35" s="111"/>
    </row>
    <row r="36" spans="1:34" x14ac:dyDescent="0.35">
      <c r="A36" s="1" t="s">
        <v>235</v>
      </c>
      <c r="B36" s="11"/>
      <c r="C36" s="11"/>
      <c r="D36" s="11"/>
      <c r="E36" s="11"/>
      <c r="F36" s="11"/>
      <c r="G36" s="11">
        <f>G35/G6</f>
        <v>1.3126000226128087E-2</v>
      </c>
      <c r="H36" s="11">
        <f>H35/H6</f>
        <v>9.1303513048811638E-3</v>
      </c>
      <c r="I36" s="11">
        <f>I35/I6</f>
        <v>1.1406587152484658E-2</v>
      </c>
      <c r="J36" s="11"/>
      <c r="K36" s="2"/>
      <c r="L36" s="2"/>
      <c r="N36" s="57"/>
      <c r="O36" s="23"/>
      <c r="P36" s="23"/>
      <c r="Q36" s="11"/>
      <c r="R36" s="11"/>
      <c r="S36" s="11"/>
      <c r="T36" s="11">
        <f t="shared" ref="T36:Y36" si="27">T35/T6</f>
        <v>1.7108280617797914E-2</v>
      </c>
      <c r="U36" s="11">
        <f t="shared" si="27"/>
        <v>1.3126000226128087E-2</v>
      </c>
      <c r="V36" s="11">
        <f t="shared" si="27"/>
        <v>1.2089729235872732E-2</v>
      </c>
      <c r="W36" s="11">
        <f t="shared" si="27"/>
        <v>1.0754774510075673E-2</v>
      </c>
      <c r="X36" s="11">
        <f t="shared" si="27"/>
        <v>1.0934827641153663E-2</v>
      </c>
      <c r="Y36" s="11">
        <f t="shared" si="27"/>
        <v>9.1303513048811638E-3</v>
      </c>
      <c r="Z36" s="11">
        <f>Z35/Z6</f>
        <v>1.0301401526827084E-2</v>
      </c>
      <c r="AA36" s="11">
        <f>AA35/AA6</f>
        <v>1.0763775344226663E-2</v>
      </c>
      <c r="AB36" s="11">
        <f>AB35/AB6</f>
        <v>1.1292255502679519E-2</v>
      </c>
      <c r="AC36" s="11">
        <f>AC35/AC6</f>
        <v>1.1406587152484658E-2</v>
      </c>
      <c r="AG36" s="118"/>
      <c r="AH36" s="117"/>
    </row>
    <row r="37" spans="1:34" x14ac:dyDescent="0.35">
      <c r="B37" s="26"/>
      <c r="C37" s="26"/>
      <c r="D37" s="26"/>
      <c r="E37" s="26"/>
      <c r="F37" s="26"/>
      <c r="G37" s="26"/>
      <c r="H37" s="26"/>
      <c r="I37" s="26"/>
      <c r="J37" s="26"/>
      <c r="K37" s="2"/>
      <c r="L37" s="2"/>
      <c r="N37" s="26"/>
      <c r="O37" s="26"/>
      <c r="P37" s="26"/>
      <c r="Q37" s="26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69"/>
      <c r="AE37" s="69"/>
      <c r="AF37" s="69"/>
      <c r="AH37" s="111"/>
    </row>
    <row r="38" spans="1:34" x14ac:dyDescent="0.35">
      <c r="A38" s="1" t="s">
        <v>122</v>
      </c>
      <c r="B38" s="26">
        <v>57.24</v>
      </c>
      <c r="C38" s="26">
        <v>80.679999999999993</v>
      </c>
      <c r="D38" s="26">
        <v>170.45000000000002</v>
      </c>
      <c r="E38" s="26">
        <v>315.36</v>
      </c>
      <c r="F38" s="26">
        <v>621.66000000000008</v>
      </c>
      <c r="G38" s="26">
        <f>U38</f>
        <v>1015.23</v>
      </c>
      <c r="H38" s="26">
        <f t="shared" ref="H38:H39" si="28">Y38</f>
        <v>973.91</v>
      </c>
      <c r="I38" s="26">
        <f>AC38</f>
        <v>1393.39</v>
      </c>
      <c r="J38" s="26"/>
      <c r="N38" s="26">
        <v>275.32</v>
      </c>
      <c r="O38" s="26">
        <v>275.79000000000002</v>
      </c>
      <c r="P38" s="26">
        <v>510.7</v>
      </c>
      <c r="Q38" s="26">
        <v>621.66</v>
      </c>
      <c r="R38" s="26">
        <v>665.55</v>
      </c>
      <c r="S38" s="26">
        <v>640.4</v>
      </c>
      <c r="T38" s="107">
        <v>1023.6</v>
      </c>
      <c r="U38" s="107">
        <v>1015.23</v>
      </c>
      <c r="V38" s="107">
        <v>1020.03</v>
      </c>
      <c r="W38" s="107">
        <v>1001.11</v>
      </c>
      <c r="X38" s="107">
        <v>1007.89</v>
      </c>
      <c r="Y38" s="107">
        <v>973.91</v>
      </c>
      <c r="Z38" s="107">
        <v>1077.32</v>
      </c>
      <c r="AA38" s="107">
        <v>1233.3900000000001</v>
      </c>
      <c r="AB38" s="107">
        <v>1295.3499999999999</v>
      </c>
      <c r="AC38" s="107">
        <v>1393.39</v>
      </c>
      <c r="AD38" s="69">
        <f>IFERROR(AC38/Y38-1,"")</f>
        <v>0.43071741742050107</v>
      </c>
      <c r="AE38" s="69">
        <f>IFERROR(AC38/AB38-1,"")</f>
        <v>7.5686108001698615E-2</v>
      </c>
      <c r="AF38" s="69"/>
      <c r="AG38" s="119"/>
    </row>
    <row r="39" spans="1:34" x14ac:dyDescent="0.35">
      <c r="A39" s="1" t="s">
        <v>123</v>
      </c>
      <c r="B39" s="26">
        <v>9.5299999999999994</v>
      </c>
      <c r="C39" s="26">
        <v>16.5</v>
      </c>
      <c r="D39" s="26">
        <v>42.4</v>
      </c>
      <c r="E39" s="26">
        <v>81.22</v>
      </c>
      <c r="F39" s="26">
        <v>223.54</v>
      </c>
      <c r="G39" s="26">
        <f>U39</f>
        <v>252.51</v>
      </c>
      <c r="H39" s="26">
        <f t="shared" si="28"/>
        <v>330.7</v>
      </c>
      <c r="I39" s="26">
        <f>AC39</f>
        <v>414.44</v>
      </c>
      <c r="J39" s="26"/>
      <c r="N39" s="26">
        <v>72.02</v>
      </c>
      <c r="O39" s="26">
        <v>89.4</v>
      </c>
      <c r="P39" s="26">
        <v>146.05000000000001</v>
      </c>
      <c r="Q39" s="26">
        <v>223.54</v>
      </c>
      <c r="R39" s="26">
        <v>174.32</v>
      </c>
      <c r="S39" s="26">
        <v>189.63</v>
      </c>
      <c r="T39" s="26">
        <v>232.04</v>
      </c>
      <c r="U39" s="26">
        <v>252.51</v>
      </c>
      <c r="V39" s="26">
        <v>228.76</v>
      </c>
      <c r="W39" s="26">
        <v>264.5</v>
      </c>
      <c r="X39" s="26">
        <v>293.06</v>
      </c>
      <c r="Y39" s="26">
        <v>330.7</v>
      </c>
      <c r="Z39" s="26">
        <v>334.28</v>
      </c>
      <c r="AA39" s="26">
        <v>374.23</v>
      </c>
      <c r="AB39" s="26">
        <v>387.56</v>
      </c>
      <c r="AC39" s="26">
        <v>414.44</v>
      </c>
      <c r="AD39" s="69">
        <f>IFERROR(AC39/Y39-1,"")</f>
        <v>0.25322044148775325</v>
      </c>
      <c r="AE39" s="69">
        <f>IFERROR(AC39/AB39-1,"")</f>
        <v>6.9357002786665234E-2</v>
      </c>
      <c r="AF39" s="69"/>
    </row>
    <row r="40" spans="1:34" s="2" customFormat="1" x14ac:dyDescent="0.35">
      <c r="A40" s="2" t="s">
        <v>83</v>
      </c>
      <c r="B40" s="4">
        <f t="shared" ref="B40:G40" si="29">B38-B39</f>
        <v>47.71</v>
      </c>
      <c r="C40" s="4">
        <f t="shared" si="29"/>
        <v>64.179999999999993</v>
      </c>
      <c r="D40" s="4">
        <f t="shared" si="29"/>
        <v>128.05000000000001</v>
      </c>
      <c r="E40" s="4">
        <f t="shared" si="29"/>
        <v>234.14000000000001</v>
      </c>
      <c r="F40" s="4">
        <f t="shared" si="29"/>
        <v>398.12000000000012</v>
      </c>
      <c r="G40" s="4">
        <f t="shared" si="29"/>
        <v>762.72</v>
      </c>
      <c r="H40" s="4">
        <f>H38-H39</f>
        <v>643.21</v>
      </c>
      <c r="I40" s="4">
        <f>I38-I39</f>
        <v>978.95</v>
      </c>
      <c r="J40" s="4"/>
      <c r="N40" s="4">
        <f t="shared" ref="N40:U40" si="30">N38-N39</f>
        <v>203.3</v>
      </c>
      <c r="O40" s="4">
        <f t="shared" si="30"/>
        <v>186.39000000000001</v>
      </c>
      <c r="P40" s="4">
        <f t="shared" si="30"/>
        <v>364.65</v>
      </c>
      <c r="Q40" s="4">
        <f t="shared" si="30"/>
        <v>398.12</v>
      </c>
      <c r="R40" s="4">
        <f t="shared" si="30"/>
        <v>491.22999999999996</v>
      </c>
      <c r="S40" s="4">
        <f t="shared" si="30"/>
        <v>450.77</v>
      </c>
      <c r="T40" s="4">
        <f>T38-T39</f>
        <v>791.56000000000006</v>
      </c>
      <c r="U40" s="4">
        <f t="shared" si="30"/>
        <v>762.72</v>
      </c>
      <c r="V40" s="4">
        <f t="shared" ref="V40:W40" si="31">V38-V39</f>
        <v>791.27</v>
      </c>
      <c r="W40" s="4">
        <f t="shared" si="31"/>
        <v>736.61</v>
      </c>
      <c r="X40" s="4">
        <f t="shared" ref="X40:AC40" si="32">X38-X39</f>
        <v>714.82999999999993</v>
      </c>
      <c r="Y40" s="4">
        <f t="shared" si="32"/>
        <v>643.21</v>
      </c>
      <c r="Z40" s="4">
        <f t="shared" si="32"/>
        <v>743.04</v>
      </c>
      <c r="AA40" s="4">
        <f t="shared" si="32"/>
        <v>859.16000000000008</v>
      </c>
      <c r="AB40" s="4">
        <f t="shared" si="32"/>
        <v>907.79</v>
      </c>
      <c r="AC40" s="4">
        <f t="shared" si="32"/>
        <v>978.95</v>
      </c>
      <c r="AD40" s="71">
        <f>IFERROR(AC40/Y40-1,"")</f>
        <v>0.52197571555168598</v>
      </c>
      <c r="AE40" s="71">
        <f>IFERROR(AC40/AB40-1,"")</f>
        <v>7.8388173476244605E-2</v>
      </c>
      <c r="AF40" s="71"/>
    </row>
    <row r="41" spans="1:34" x14ac:dyDescent="0.35">
      <c r="A41" s="1" t="s">
        <v>248</v>
      </c>
      <c r="B41" s="26">
        <v>35.85</v>
      </c>
      <c r="C41" s="26">
        <v>56.74</v>
      </c>
      <c r="D41" s="26">
        <v>119.69</v>
      </c>
      <c r="E41" s="26">
        <v>267.45999999999998</v>
      </c>
      <c r="F41" s="26">
        <v>452.98</v>
      </c>
      <c r="G41" s="26">
        <f>U41</f>
        <v>466.5</v>
      </c>
      <c r="H41" s="26">
        <f>Y41</f>
        <v>564.22</v>
      </c>
      <c r="I41" s="26">
        <f>AC41</f>
        <v>691.85</v>
      </c>
      <c r="J41" s="26"/>
      <c r="N41" s="26">
        <v>306.88</v>
      </c>
      <c r="O41" s="26">
        <v>398.93</v>
      </c>
      <c r="P41" s="26">
        <v>452.25</v>
      </c>
      <c r="Q41" s="26">
        <f>F41</f>
        <v>452.98</v>
      </c>
      <c r="R41" s="26">
        <v>459.67</v>
      </c>
      <c r="S41" s="26">
        <v>486.95</v>
      </c>
      <c r="T41" s="26">
        <v>464.17</v>
      </c>
      <c r="U41" s="26">
        <v>466.5</v>
      </c>
      <c r="V41" s="26">
        <v>455.33</v>
      </c>
      <c r="W41" s="26">
        <v>496.48</v>
      </c>
      <c r="X41" s="26">
        <v>526.13</v>
      </c>
      <c r="Y41" s="26">
        <v>564.22</v>
      </c>
      <c r="Z41" s="26">
        <v>599.66</v>
      </c>
      <c r="AA41" s="26">
        <v>631.70000000000005</v>
      </c>
      <c r="AB41" s="26">
        <v>663.99</v>
      </c>
      <c r="AC41" s="26">
        <v>691.85</v>
      </c>
      <c r="AD41" s="69">
        <f>IFERROR(AC41/Y41-1,"")</f>
        <v>0.22620608982311863</v>
      </c>
      <c r="AE41" s="69">
        <f>IFERROR(AC41/AB41-1,"")</f>
        <v>4.1958463229867959E-2</v>
      </c>
      <c r="AF41" s="69"/>
    </row>
    <row r="42" spans="1:34" s="2" customFormat="1" x14ac:dyDescent="0.35">
      <c r="A42" s="2" t="s">
        <v>152</v>
      </c>
      <c r="B42" s="4">
        <f t="shared" ref="B42:H42" si="33">B6-B41</f>
        <v>7893.12</v>
      </c>
      <c r="C42" s="4">
        <f t="shared" si="33"/>
        <v>13087.35</v>
      </c>
      <c r="D42" s="4">
        <f t="shared" si="33"/>
        <v>21347.050000000003</v>
      </c>
      <c r="E42" s="4">
        <f t="shared" si="33"/>
        <v>30139.140000000007</v>
      </c>
      <c r="F42" s="4">
        <f t="shared" si="33"/>
        <v>33265</v>
      </c>
      <c r="G42" s="4">
        <f t="shared" si="33"/>
        <v>43048.66</v>
      </c>
      <c r="H42" s="4">
        <f t="shared" si="33"/>
        <v>59957.000000000007</v>
      </c>
      <c r="I42" s="4">
        <f t="shared" ref="I42" si="34">I6-I41</f>
        <v>81434.37999999999</v>
      </c>
      <c r="J42" s="4"/>
      <c r="N42" s="4">
        <f t="shared" ref="N42:Z42" si="35">N6-N41</f>
        <v>28693.71</v>
      </c>
      <c r="O42" s="4">
        <f t="shared" si="35"/>
        <v>29721.64</v>
      </c>
      <c r="P42" s="4">
        <f t="shared" si="35"/>
        <v>32067.315761586546</v>
      </c>
      <c r="Q42" s="4">
        <f t="shared" si="35"/>
        <v>33265</v>
      </c>
      <c r="R42" s="4">
        <f t="shared" si="35"/>
        <v>33951.360000000015</v>
      </c>
      <c r="S42" s="4">
        <f t="shared" si="35"/>
        <v>36371.93</v>
      </c>
      <c r="T42" s="4">
        <f t="shared" si="35"/>
        <v>39539.85</v>
      </c>
      <c r="U42" s="4">
        <f t="shared" si="35"/>
        <v>43048.66</v>
      </c>
      <c r="V42" s="4">
        <f t="shared" si="35"/>
        <v>47222.33</v>
      </c>
      <c r="W42" s="4">
        <f t="shared" si="35"/>
        <v>51454.399999999994</v>
      </c>
      <c r="X42" s="4">
        <f t="shared" si="35"/>
        <v>55954.87</v>
      </c>
      <c r="Y42" s="4">
        <f t="shared" si="35"/>
        <v>59957.000000000007</v>
      </c>
      <c r="Z42" s="4">
        <f t="shared" si="35"/>
        <v>65194.299999999988</v>
      </c>
      <c r="AA42" s="4">
        <f t="shared" ref="AA42:AB42" si="36">AA6-AA41</f>
        <v>70253.279999999999</v>
      </c>
      <c r="AB42" s="4">
        <f t="shared" si="36"/>
        <v>75478.459999999992</v>
      </c>
      <c r="AC42" s="4">
        <f t="shared" ref="AC42" si="37">AC6-AC41</f>
        <v>81434.37999999999</v>
      </c>
      <c r="AD42" s="71">
        <f>IFERROR(AC42/Y42-1,"")</f>
        <v>0.35821305268775916</v>
      </c>
      <c r="AE42" s="71">
        <f>IFERROR(AC42/AB42-1,"")</f>
        <v>7.8908870159777988E-2</v>
      </c>
      <c r="AF42" s="71"/>
    </row>
    <row r="43" spans="1:34" s="2" customFormat="1" x14ac:dyDescent="0.35">
      <c r="B43" s="4"/>
      <c r="C43" s="4"/>
      <c r="D43" s="4"/>
      <c r="E43" s="4"/>
      <c r="F43" s="4"/>
      <c r="G43" s="4"/>
      <c r="H43" s="4"/>
      <c r="I43" s="4"/>
      <c r="J43" s="4"/>
      <c r="N43" s="4"/>
      <c r="O43" s="4"/>
      <c r="P43" s="34"/>
      <c r="Q43" s="4"/>
      <c r="R43" s="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70"/>
      <c r="AE43" s="70"/>
      <c r="AF43" s="70"/>
    </row>
    <row r="44" spans="1:34" s="2" customFormat="1" x14ac:dyDescent="0.35">
      <c r="A44" s="1" t="s">
        <v>184</v>
      </c>
      <c r="B44" s="46">
        <f t="shared" ref="B44:H44" si="38">B6-B32</f>
        <v>7767.92</v>
      </c>
      <c r="C44" s="46">
        <f t="shared" si="38"/>
        <v>12961.62</v>
      </c>
      <c r="D44" s="46">
        <f t="shared" si="38"/>
        <v>21102.620000000003</v>
      </c>
      <c r="E44" s="46">
        <f t="shared" si="38"/>
        <v>29809.920000000006</v>
      </c>
      <c r="F44" s="46">
        <f t="shared" si="38"/>
        <v>32322.984000000004</v>
      </c>
      <c r="G44" s="46">
        <f t="shared" si="38"/>
        <v>41926.480000000003</v>
      </c>
      <c r="H44" s="46">
        <f t="shared" si="38"/>
        <v>58890.780000000006</v>
      </c>
      <c r="I44" s="46">
        <f t="shared" ref="I44" si="39">I6-I32</f>
        <v>79817</v>
      </c>
      <c r="J44" s="46"/>
      <c r="N44" s="46">
        <f t="shared" ref="N44:Z44" si="40">N6-N32</f>
        <v>28580.799999999999</v>
      </c>
      <c r="O44" s="46">
        <f t="shared" si="40"/>
        <v>29717.9</v>
      </c>
      <c r="P44" s="46">
        <f t="shared" si="40"/>
        <v>31187.605761586547</v>
      </c>
      <c r="Q44" s="46">
        <f t="shared" si="40"/>
        <v>32322.984000000004</v>
      </c>
      <c r="R44" s="46">
        <f t="shared" si="40"/>
        <v>32424.810000000012</v>
      </c>
      <c r="S44" s="46">
        <f t="shared" si="40"/>
        <v>34941.719999999994</v>
      </c>
      <c r="T44" s="46">
        <f t="shared" si="40"/>
        <v>38110.14</v>
      </c>
      <c r="U44" s="46">
        <f t="shared" si="40"/>
        <v>41926.480000000003</v>
      </c>
      <c r="V44" s="46">
        <f t="shared" si="40"/>
        <v>46000.850000000006</v>
      </c>
      <c r="W44" s="46">
        <f t="shared" si="40"/>
        <v>50259.334999999999</v>
      </c>
      <c r="X44" s="46">
        <f t="shared" si="40"/>
        <v>54803.71</v>
      </c>
      <c r="Y44" s="46">
        <f t="shared" si="40"/>
        <v>58890.780000000006</v>
      </c>
      <c r="Z44" s="46">
        <f t="shared" si="40"/>
        <v>63874.989999999991</v>
      </c>
      <c r="AA44" s="46">
        <f t="shared" ref="AA44:AB44" si="41">AA6-AA32</f>
        <v>68819.679999999993</v>
      </c>
      <c r="AB44" s="46">
        <f t="shared" si="41"/>
        <v>73863.55</v>
      </c>
      <c r="AC44" s="46">
        <f t="shared" ref="AC44" si="42">AC6-AC32</f>
        <v>79817</v>
      </c>
      <c r="AD44" s="69">
        <f>IFERROR(AC44/Y44-1,"")</f>
        <v>0.35533949456943836</v>
      </c>
      <c r="AE44" s="69">
        <f>IFERROR(AC44/AB44-1,"")</f>
        <v>8.0600648086911475E-2</v>
      </c>
      <c r="AF44" s="71"/>
    </row>
    <row r="45" spans="1:34" s="2" customFormat="1" x14ac:dyDescent="0.35">
      <c r="A45" s="1" t="s">
        <v>185</v>
      </c>
      <c r="B45" s="46">
        <f t="shared" ref="B45:H45" si="43">B32-B38</f>
        <v>103.81</v>
      </c>
      <c r="C45" s="46">
        <f t="shared" si="43"/>
        <v>101.79</v>
      </c>
      <c r="D45" s="46">
        <f t="shared" si="43"/>
        <v>193.67000000000004</v>
      </c>
      <c r="E45" s="46">
        <f t="shared" si="43"/>
        <v>281.32000000000005</v>
      </c>
      <c r="F45" s="46">
        <f t="shared" si="43"/>
        <v>773.33599999999979</v>
      </c>
      <c r="G45" s="46">
        <f t="shared" si="43"/>
        <v>573.45000000000005</v>
      </c>
      <c r="H45" s="46">
        <f t="shared" si="43"/>
        <v>656.53000000000009</v>
      </c>
      <c r="I45" s="46">
        <f t="shared" ref="I45" si="44">I32-I38</f>
        <v>915.83999999999992</v>
      </c>
      <c r="J45" s="46"/>
      <c r="N45" s="46">
        <f t="shared" ref="N45:Z45" si="45">N32-N38</f>
        <v>144.47000000000003</v>
      </c>
      <c r="O45" s="46">
        <f t="shared" si="45"/>
        <v>126.88</v>
      </c>
      <c r="P45" s="46">
        <f t="shared" si="45"/>
        <v>821.26</v>
      </c>
      <c r="Q45" s="46">
        <f t="shared" si="45"/>
        <v>773.3359999999999</v>
      </c>
      <c r="R45" s="46">
        <f t="shared" si="45"/>
        <v>1320.67</v>
      </c>
      <c r="S45" s="46">
        <f t="shared" si="45"/>
        <v>1276.7600000000002</v>
      </c>
      <c r="T45" s="46">
        <f t="shared" si="45"/>
        <v>870.28000000000009</v>
      </c>
      <c r="U45" s="46">
        <f t="shared" si="45"/>
        <v>573.45000000000005</v>
      </c>
      <c r="V45" s="46">
        <f t="shared" si="45"/>
        <v>656.78</v>
      </c>
      <c r="W45" s="46">
        <f t="shared" si="45"/>
        <v>690.43500000000006</v>
      </c>
      <c r="X45" s="46">
        <f t="shared" si="45"/>
        <v>669.4</v>
      </c>
      <c r="Y45" s="46">
        <f t="shared" si="45"/>
        <v>656.53000000000009</v>
      </c>
      <c r="Z45" s="46">
        <f t="shared" si="45"/>
        <v>841.65000000000009</v>
      </c>
      <c r="AA45" s="46">
        <f t="shared" ref="AA45:AB45" si="46">AA32-AA38</f>
        <v>831.91000000000008</v>
      </c>
      <c r="AB45" s="46">
        <f t="shared" si="46"/>
        <v>983.55000000000018</v>
      </c>
      <c r="AC45" s="46">
        <f t="shared" ref="AC45" si="47">AC32-AC38</f>
        <v>915.83999999999992</v>
      </c>
      <c r="AD45" s="69">
        <f>IFERROR(AC45/Y45-1,"")</f>
        <v>0.39497052686092005</v>
      </c>
      <c r="AE45" s="69">
        <f>IFERROR(AC45/AB45-1,"")</f>
        <v>-6.884245844136061E-2</v>
      </c>
      <c r="AF45" s="71"/>
    </row>
    <row r="46" spans="1:34" s="8" customFormat="1" x14ac:dyDescent="0.35">
      <c r="B46" s="10"/>
      <c r="C46" s="10"/>
      <c r="D46" s="10"/>
      <c r="E46" s="10"/>
      <c r="F46" s="10"/>
      <c r="G46" s="10"/>
      <c r="H46" s="10"/>
      <c r="I46" s="10"/>
      <c r="J46" s="10"/>
      <c r="N46" s="10"/>
      <c r="O46" s="10"/>
      <c r="P46" s="82"/>
      <c r="Q46" s="10"/>
      <c r="R46" s="10"/>
      <c r="S46" s="82"/>
      <c r="T46" s="82"/>
      <c r="U46" s="92"/>
      <c r="V46" s="92"/>
      <c r="W46" s="92"/>
      <c r="X46" s="92"/>
      <c r="Y46" s="92"/>
      <c r="Z46" s="92"/>
      <c r="AA46" s="92"/>
      <c r="AB46" s="92"/>
      <c r="AC46" s="92"/>
      <c r="AD46" s="64"/>
      <c r="AE46" s="64"/>
      <c r="AF46" s="64"/>
    </row>
    <row r="47" spans="1:34" s="8" customFormat="1" x14ac:dyDescent="0.35">
      <c r="A47" s="8" t="s">
        <v>18</v>
      </c>
      <c r="B47" s="28">
        <f t="shared" ref="B47:H47" si="48">B38/B6</f>
        <v>7.2190965535246067E-3</v>
      </c>
      <c r="C47" s="28">
        <f t="shared" si="48"/>
        <v>6.1381198698426433E-3</v>
      </c>
      <c r="D47" s="28">
        <f t="shared" si="48"/>
        <v>7.9401902664307678E-3</v>
      </c>
      <c r="E47" s="28">
        <f t="shared" si="48"/>
        <v>1.0371432517940182E-2</v>
      </c>
      <c r="F47" s="28">
        <f t="shared" si="48"/>
        <v>1.843704753368974E-2</v>
      </c>
      <c r="G47" s="100">
        <f t="shared" si="48"/>
        <v>2.333048987984877E-2</v>
      </c>
      <c r="H47" s="100">
        <f t="shared" si="48"/>
        <v>1.6092041766507678E-2</v>
      </c>
      <c r="I47" s="100">
        <f t="shared" ref="I47" si="49">I38/I6</f>
        <v>1.6966442998783703E-2</v>
      </c>
      <c r="J47" s="28"/>
      <c r="N47" s="87">
        <f t="shared" ref="N47:Y47" si="50">N38/N6</f>
        <v>9.4935999577939623E-3</v>
      </c>
      <c r="O47" s="87">
        <f t="shared" si="50"/>
        <v>9.1562012272676119E-3</v>
      </c>
      <c r="P47" s="87">
        <f t="shared" si="50"/>
        <v>1.5704391742009664E-2</v>
      </c>
      <c r="Q47" s="88">
        <f t="shared" si="50"/>
        <v>1.8437047533689736E-2</v>
      </c>
      <c r="R47" s="88">
        <f t="shared" si="50"/>
        <v>1.9341182173274084E-2</v>
      </c>
      <c r="S47" s="88">
        <f t="shared" si="50"/>
        <v>1.7374374913182385E-2</v>
      </c>
      <c r="T47" s="89">
        <f t="shared" si="50"/>
        <v>2.5587428463439428E-2</v>
      </c>
      <c r="U47" s="89">
        <f t="shared" si="50"/>
        <v>2.333048987984877E-2</v>
      </c>
      <c r="V47" s="89">
        <f t="shared" si="50"/>
        <v>2.1394296616067145E-2</v>
      </c>
      <c r="W47" s="89">
        <f t="shared" si="50"/>
        <v>1.9270318423865007E-2</v>
      </c>
      <c r="X47" s="89">
        <f t="shared" si="50"/>
        <v>1.7844761955347815E-2</v>
      </c>
      <c r="Y47" s="89">
        <f t="shared" si="50"/>
        <v>1.6092041766507678E-2</v>
      </c>
      <c r="Z47" s="89">
        <f>Z38/Z6</f>
        <v>1.6374147414139537E-2</v>
      </c>
      <c r="AA47" s="89">
        <f>AA38/AA6</f>
        <v>1.7399877943112915E-2</v>
      </c>
      <c r="AB47" s="89">
        <f>AB38/AB6</f>
        <v>1.7012192279076913E-2</v>
      </c>
      <c r="AC47" s="89">
        <f>AC38/AC6</f>
        <v>1.6966442998783703E-2</v>
      </c>
      <c r="AD47" s="64"/>
      <c r="AE47" s="64"/>
      <c r="AF47" s="64"/>
      <c r="AG47" s="125"/>
      <c r="AH47" s="125"/>
    </row>
    <row r="48" spans="1:34" s="8" customFormat="1" x14ac:dyDescent="0.35">
      <c r="A48" s="8" t="s">
        <v>155</v>
      </c>
      <c r="B48" s="28">
        <f t="shared" ref="B48:H48" si="51">B40/B42</f>
        <v>6.0445045812048976E-3</v>
      </c>
      <c r="C48" s="28">
        <f t="shared" si="51"/>
        <v>4.903972156318887E-3</v>
      </c>
      <c r="D48" s="28">
        <f t="shared" si="51"/>
        <v>5.9984869103693484E-3</v>
      </c>
      <c r="E48" s="28">
        <f t="shared" si="51"/>
        <v>7.7686357341317626E-3</v>
      </c>
      <c r="F48" s="28">
        <f t="shared" si="51"/>
        <v>1.1968134676085981E-2</v>
      </c>
      <c r="G48" s="100">
        <f t="shared" si="51"/>
        <v>1.771762466009395E-2</v>
      </c>
      <c r="H48" s="100">
        <f t="shared" si="51"/>
        <v>1.0727854962723285E-2</v>
      </c>
      <c r="I48" s="100">
        <f t="shared" ref="I48" si="52">I40/I42</f>
        <v>1.2021335460526625E-2</v>
      </c>
      <c r="J48" s="28"/>
      <c r="N48" s="88">
        <f t="shared" ref="N48:Y48" si="53">N40/N42</f>
        <v>7.0851765073251249E-3</v>
      </c>
      <c r="O48" s="88">
        <f t="shared" si="53"/>
        <v>6.2711882655196692E-3</v>
      </c>
      <c r="P48" s="88">
        <f t="shared" si="53"/>
        <v>1.137139144140073E-2</v>
      </c>
      <c r="Q48" s="88">
        <f t="shared" si="53"/>
        <v>1.1968134676085977E-2</v>
      </c>
      <c r="R48" s="88">
        <f t="shared" si="53"/>
        <v>1.446863984240984E-2</v>
      </c>
      <c r="S48" s="88">
        <f t="shared" si="53"/>
        <v>1.2393348387066619E-2</v>
      </c>
      <c r="T48" s="89">
        <f t="shared" si="53"/>
        <v>2.0019296987722514E-2</v>
      </c>
      <c r="U48" s="89">
        <f t="shared" si="53"/>
        <v>1.771762466009395E-2</v>
      </c>
      <c r="V48" s="89">
        <f t="shared" si="53"/>
        <v>1.6756267638636212E-2</v>
      </c>
      <c r="W48" s="89">
        <f t="shared" si="53"/>
        <v>1.4315782518113128E-2</v>
      </c>
      <c r="X48" s="89">
        <f t="shared" si="53"/>
        <v>1.2775116803952899E-2</v>
      </c>
      <c r="Y48" s="89">
        <f t="shared" si="53"/>
        <v>1.0727854962723285E-2</v>
      </c>
      <c r="Z48" s="89">
        <f>Z40/Z42</f>
        <v>1.1397315409475983E-2</v>
      </c>
      <c r="AA48" s="89">
        <f>AA40/AA42</f>
        <v>1.2229464588699631E-2</v>
      </c>
      <c r="AB48" s="89">
        <f>AB40/AB42</f>
        <v>1.2027139928398116E-2</v>
      </c>
      <c r="AC48" s="89">
        <f>AC40/AC42</f>
        <v>1.2021335460526625E-2</v>
      </c>
      <c r="AD48" s="64"/>
      <c r="AE48" s="64"/>
      <c r="AF48" s="64"/>
      <c r="AG48" s="128"/>
    </row>
    <row r="49" spans="1:34" x14ac:dyDescent="0.35">
      <c r="X49" s="11"/>
      <c r="Y49" s="11"/>
      <c r="Z49" s="11"/>
      <c r="AA49" s="11"/>
      <c r="AB49" s="11"/>
      <c r="AC49" s="11"/>
    </row>
    <row r="50" spans="1:34" x14ac:dyDescent="0.35">
      <c r="A50" s="1" t="s">
        <v>153</v>
      </c>
      <c r="B50" s="26">
        <v>6.47</v>
      </c>
      <c r="C50" s="26">
        <v>10.210000000000001</v>
      </c>
      <c r="D50" s="26">
        <v>14.51</v>
      </c>
      <c r="E50" s="26">
        <v>9.11</v>
      </c>
      <c r="F50" s="26">
        <v>9.48</v>
      </c>
      <c r="G50" s="26">
        <v>11.28</v>
      </c>
      <c r="H50" s="26">
        <f>Y50</f>
        <v>15.12</v>
      </c>
      <c r="I50" s="26">
        <f>AC50</f>
        <v>16.940000000000001</v>
      </c>
      <c r="J50" s="26"/>
      <c r="N50" s="26">
        <v>9.2200000000000006</v>
      </c>
      <c r="O50" s="26">
        <v>9.0299999999999994</v>
      </c>
      <c r="P50" s="26">
        <v>9.59</v>
      </c>
      <c r="Q50" s="26">
        <f>F50</f>
        <v>9.48</v>
      </c>
      <c r="R50" s="26">
        <v>8.26</v>
      </c>
      <c r="S50" s="26">
        <v>8.9</v>
      </c>
      <c r="T50" s="26">
        <v>8.92</v>
      </c>
      <c r="U50" s="35">
        <f>G50</f>
        <v>11.28</v>
      </c>
      <c r="V50" s="35">
        <v>11.62</v>
      </c>
      <c r="W50" s="35">
        <v>12.05</v>
      </c>
      <c r="X50" s="35">
        <v>13.8</v>
      </c>
      <c r="Y50" s="35">
        <v>15.12</v>
      </c>
      <c r="Z50" s="35">
        <v>15.78</v>
      </c>
      <c r="AA50" s="35">
        <v>13.78</v>
      </c>
      <c r="AB50" s="35">
        <v>14.88</v>
      </c>
      <c r="AC50" s="35">
        <v>16.940000000000001</v>
      </c>
      <c r="AD50" s="69">
        <f>IFERROR(AC50/Y50-1,"")</f>
        <v>0.12037037037037046</v>
      </c>
      <c r="AE50" s="69">
        <f>IFERROR(AC50/AB50-1,"")</f>
        <v>0.13844086021505375</v>
      </c>
      <c r="AF50" s="75"/>
    </row>
    <row r="51" spans="1:34" x14ac:dyDescent="0.35">
      <c r="A51" s="1" t="s">
        <v>224</v>
      </c>
      <c r="B51" s="7">
        <f t="shared" ref="B51:H51" si="54">(B41+B50)/B38</f>
        <v>0.73934311670160724</v>
      </c>
      <c r="C51" s="7">
        <f t="shared" si="54"/>
        <v>0.82982151710461094</v>
      </c>
      <c r="D51" s="7">
        <f t="shared" si="54"/>
        <v>0.78732766207098837</v>
      </c>
      <c r="E51" s="7">
        <f t="shared" si="54"/>
        <v>0.87699771689497708</v>
      </c>
      <c r="F51" s="7">
        <f t="shared" si="54"/>
        <v>0.74391146285751053</v>
      </c>
      <c r="G51" s="7">
        <f t="shared" si="54"/>
        <v>0.47061257055051559</v>
      </c>
      <c r="H51" s="7">
        <f t="shared" si="54"/>
        <v>0.5948598946514565</v>
      </c>
      <c r="I51" s="7">
        <f t="shared" ref="I51" si="55">(I41+I50)/I38</f>
        <v>0.50868026898427576</v>
      </c>
      <c r="J51" s="7"/>
      <c r="N51" s="7">
        <f t="shared" ref="N51:Z51" si="56">(N41+N50)/N38</f>
        <v>1.1481185529565598</v>
      </c>
      <c r="O51" s="7">
        <f t="shared" si="56"/>
        <v>1.4792414518292902</v>
      </c>
      <c r="P51" s="11">
        <f t="shared" si="56"/>
        <v>0.90432739377325233</v>
      </c>
      <c r="Q51" s="11">
        <f t="shared" si="56"/>
        <v>0.74391146285751064</v>
      </c>
      <c r="R51" s="11">
        <f t="shared" si="56"/>
        <v>0.70307264668319436</v>
      </c>
      <c r="S51" s="11">
        <f t="shared" si="56"/>
        <v>0.77428169893816368</v>
      </c>
      <c r="T51" s="11">
        <f t="shared" si="56"/>
        <v>0.46218249316139121</v>
      </c>
      <c r="U51" s="11">
        <f t="shared" si="56"/>
        <v>0.47061257055051559</v>
      </c>
      <c r="V51" s="11">
        <f t="shared" si="56"/>
        <v>0.45778065351019087</v>
      </c>
      <c r="W51" s="11">
        <f t="shared" si="56"/>
        <v>0.50796615756510277</v>
      </c>
      <c r="X51" s="11">
        <f t="shared" si="56"/>
        <v>0.53570330095546137</v>
      </c>
      <c r="Y51" s="11">
        <f t="shared" si="56"/>
        <v>0.5948598946514565</v>
      </c>
      <c r="Z51" s="11">
        <f t="shared" si="56"/>
        <v>0.57126944640403965</v>
      </c>
      <c r="AA51" s="11">
        <f>(AA41+AA50)/AA38</f>
        <v>0.52333811689733167</v>
      </c>
      <c r="AB51" s="11">
        <f>(AB41+AB50)/AB38</f>
        <v>0.52408229436059761</v>
      </c>
      <c r="AC51" s="11">
        <f>(AC41+AC50)/AC38</f>
        <v>0.50868026898427576</v>
      </c>
      <c r="AG51" s="116"/>
    </row>
    <row r="52" spans="1:34" x14ac:dyDescent="0.35">
      <c r="A52" s="1" t="s">
        <v>225</v>
      </c>
      <c r="B52" s="7">
        <f>B51</f>
        <v>0.73934311670160724</v>
      </c>
      <c r="C52" s="7">
        <f>C51</f>
        <v>0.82982151710461094</v>
      </c>
      <c r="D52" s="7">
        <f>D51</f>
        <v>0.78732766207098837</v>
      </c>
      <c r="E52" s="7">
        <f>E51</f>
        <v>0.87699771689497708</v>
      </c>
      <c r="F52" s="7">
        <f>F51</f>
        <v>0.74391146285751053</v>
      </c>
      <c r="G52" s="7">
        <f>U52</f>
        <v>0.83599999999999997</v>
      </c>
      <c r="H52" s="7">
        <f>Y52</f>
        <v>1.048</v>
      </c>
      <c r="I52" s="7">
        <f>AC52</f>
        <v>0.75662375370951573</v>
      </c>
      <c r="J52" s="7"/>
      <c r="N52" s="11">
        <f t="shared" ref="N52:R52" si="57">N51</f>
        <v>1.1481185529565598</v>
      </c>
      <c r="O52" s="11">
        <f t="shared" si="57"/>
        <v>1.4792414518292902</v>
      </c>
      <c r="P52" s="11">
        <f t="shared" si="57"/>
        <v>0.90432739377325233</v>
      </c>
      <c r="Q52" s="11">
        <f t="shared" si="57"/>
        <v>0.74391146285751064</v>
      </c>
      <c r="R52" s="11">
        <f t="shared" si="57"/>
        <v>0.70307264668319436</v>
      </c>
      <c r="S52" s="11">
        <f>S51</f>
        <v>0.77428169893816368</v>
      </c>
      <c r="T52" s="11">
        <v>0.69099999999999995</v>
      </c>
      <c r="U52" s="11">
        <v>0.83599999999999997</v>
      </c>
      <c r="V52" s="11">
        <v>0.81</v>
      </c>
      <c r="W52" s="11">
        <v>0.91020000000000001</v>
      </c>
      <c r="X52" s="11">
        <v>0.87419999999999998</v>
      </c>
      <c r="Y52" s="11">
        <v>1.048</v>
      </c>
      <c r="Z52" s="11">
        <f>(Z41+Z50)/Z35</f>
        <v>0.90803664960089703</v>
      </c>
      <c r="AA52" s="11">
        <f>(AA41+AA50)/AA35</f>
        <v>0.84598749655958794</v>
      </c>
      <c r="AB52" s="11">
        <f>(AB41+AB50)/AB35</f>
        <v>0.78954897536693724</v>
      </c>
      <c r="AC52" s="11">
        <f>(AC41+AC50)/AC35</f>
        <v>0.75662375370951573</v>
      </c>
      <c r="AG52" s="123"/>
    </row>
    <row r="53" spans="1:34" s="5" customFormat="1" x14ac:dyDescent="0.35">
      <c r="A53" s="5" t="s">
        <v>79</v>
      </c>
      <c r="B53" s="6" t="str">
        <f t="shared" ref="B53:J53" si="58">B1</f>
        <v>FY17</v>
      </c>
      <c r="C53" s="6" t="str">
        <f t="shared" si="58"/>
        <v>FY18</v>
      </c>
      <c r="D53" s="6" t="str">
        <f t="shared" si="58"/>
        <v>FY19</v>
      </c>
      <c r="E53" s="6" t="str">
        <f t="shared" si="58"/>
        <v>FY20</v>
      </c>
      <c r="F53" s="6" t="str">
        <f t="shared" si="58"/>
        <v>FY21</v>
      </c>
      <c r="G53" s="6" t="str">
        <f t="shared" si="58"/>
        <v>FY22</v>
      </c>
      <c r="H53" s="6" t="str">
        <f t="shared" si="58"/>
        <v>FY23</v>
      </c>
      <c r="I53" s="6" t="str">
        <f t="shared" ref="I53" si="59">I1</f>
        <v>FY24</v>
      </c>
      <c r="J53" s="6" t="str">
        <f t="shared" si="58"/>
        <v>Yoy%</v>
      </c>
      <c r="N53" s="6" t="s">
        <v>38</v>
      </c>
      <c r="O53" s="6" t="str">
        <f>O1</f>
        <v>Q2FY21</v>
      </c>
      <c r="P53" s="80" t="str">
        <f>P1</f>
        <v>Q3FY21</v>
      </c>
      <c r="Q53" s="6" t="s">
        <v>74</v>
      </c>
      <c r="R53" s="6" t="s">
        <v>186</v>
      </c>
      <c r="S53" s="80" t="str">
        <f t="shared" ref="S53:AE53" si="60">S1</f>
        <v>Q2FY22</v>
      </c>
      <c r="T53" s="80" t="str">
        <f t="shared" si="60"/>
        <v>Q3FY22</v>
      </c>
      <c r="U53" s="80" t="str">
        <f t="shared" si="60"/>
        <v>Q4FY22</v>
      </c>
      <c r="V53" s="80" t="str">
        <f t="shared" si="60"/>
        <v>Q1FY23</v>
      </c>
      <c r="W53" s="80" t="str">
        <f t="shared" si="60"/>
        <v>Q2FY23</v>
      </c>
      <c r="X53" s="80" t="str">
        <f t="shared" si="60"/>
        <v>Q3FY23</v>
      </c>
      <c r="Y53" s="80" t="str">
        <f t="shared" si="60"/>
        <v>Q4FY23</v>
      </c>
      <c r="Z53" s="80" t="str">
        <f t="shared" si="60"/>
        <v>Q1FY24</v>
      </c>
      <c r="AA53" s="80" t="str">
        <f t="shared" ref="AA53:AB53" si="61">AA1</f>
        <v>Q2FY24</v>
      </c>
      <c r="AB53" s="80" t="str">
        <f t="shared" si="61"/>
        <v>Q3FY24</v>
      </c>
      <c r="AC53" s="80" t="str">
        <f t="shared" ref="AC53" si="62">AC1</f>
        <v>Q4FY24</v>
      </c>
      <c r="AD53" s="6" t="str">
        <f t="shared" si="60"/>
        <v>y-o-y</v>
      </c>
      <c r="AE53" s="6" t="str">
        <f t="shared" si="60"/>
        <v>q-o-q</v>
      </c>
      <c r="AF53" s="6"/>
    </row>
    <row r="54" spans="1:34" s="8" customFormat="1" x14ac:dyDescent="0.35">
      <c r="B54" s="9"/>
      <c r="C54" s="9"/>
      <c r="D54" s="9"/>
      <c r="E54" s="9"/>
      <c r="F54" s="9"/>
      <c r="G54" s="9"/>
      <c r="H54" s="9"/>
      <c r="I54" s="9"/>
      <c r="J54" s="9"/>
      <c r="N54" s="9"/>
      <c r="O54" s="9"/>
      <c r="P54" s="85"/>
      <c r="Q54" s="86"/>
      <c r="R54" s="86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64"/>
      <c r="AE54" s="64"/>
      <c r="AF54" s="64"/>
    </row>
    <row r="55" spans="1:34" x14ac:dyDescent="0.35">
      <c r="A55" s="1" t="s">
        <v>41</v>
      </c>
      <c r="B55" s="26">
        <v>851.78</v>
      </c>
      <c r="C55" s="26">
        <v>1274.4700000000003</v>
      </c>
      <c r="D55" s="26">
        <v>2289.1499999999992</v>
      </c>
      <c r="E55" s="26">
        <v>3424.9799999999996</v>
      </c>
      <c r="F55" s="26">
        <v>4061.31</v>
      </c>
      <c r="G55" s="26">
        <v>4770.4399999999996</v>
      </c>
      <c r="H55" s="26">
        <f>SUM(V55:Y55)</f>
        <v>6824.9699999999993</v>
      </c>
      <c r="I55" s="26">
        <f>SUM(Z55:AC55)</f>
        <v>9696.14</v>
      </c>
      <c r="J55" s="38">
        <f t="shared" ref="J55:J70" si="63">I55/H55-1</f>
        <v>0.42068609825391179</v>
      </c>
      <c r="K55" s="44"/>
      <c r="L55" s="17"/>
      <c r="N55" s="26">
        <v>1016.46</v>
      </c>
      <c r="O55" s="26">
        <v>977.49</v>
      </c>
      <c r="P55" s="26">
        <v>1022.08</v>
      </c>
      <c r="Q55" s="26">
        <v>1045.28</v>
      </c>
      <c r="R55" s="26">
        <v>1091.27</v>
      </c>
      <c r="S55" s="26">
        <v>1154.3800000000001</v>
      </c>
      <c r="T55" s="26">
        <v>1214.5</v>
      </c>
      <c r="U55" s="26">
        <v>1310.29</v>
      </c>
      <c r="V55" s="26">
        <v>1449.89</v>
      </c>
      <c r="W55" s="26">
        <v>1637.1899999999998</v>
      </c>
      <c r="X55" s="26">
        <v>1800.6499999999999</v>
      </c>
      <c r="Y55" s="26">
        <v>1937.2399999999998</v>
      </c>
      <c r="Z55" s="26">
        <v>2166.17</v>
      </c>
      <c r="AA55" s="26">
        <v>2347.760000000002</v>
      </c>
      <c r="AB55" s="26">
        <v>2508.9399999999978</v>
      </c>
      <c r="AC55" s="26">
        <v>2673.2699999999995</v>
      </c>
      <c r="AD55" s="69">
        <f t="shared" ref="AD55:AD70" si="64">IFERROR(AC55/Y55-1,"")</f>
        <v>0.37993743676570779</v>
      </c>
      <c r="AE55" s="69">
        <f t="shared" ref="AE55:AE70" si="65">IFERROR(AC55/AB55-1,"")</f>
        <v>6.5497779938939127E-2</v>
      </c>
      <c r="AF55" s="69"/>
      <c r="AG55" s="119"/>
      <c r="AH55" s="119"/>
    </row>
    <row r="56" spans="1:34" x14ac:dyDescent="0.35">
      <c r="A56" t="s">
        <v>42</v>
      </c>
      <c r="B56" s="26">
        <v>25.92</v>
      </c>
      <c r="C56" s="26">
        <v>0</v>
      </c>
      <c r="D56" s="26">
        <v>214.76</v>
      </c>
      <c r="E56" s="26">
        <v>371.22</v>
      </c>
      <c r="F56" s="26">
        <v>439.35</v>
      </c>
      <c r="G56" s="26">
        <v>678.34</v>
      </c>
      <c r="H56" s="26">
        <f t="shared" ref="H56:H57" si="66">SUM(V56:Y56)</f>
        <v>380.37</v>
      </c>
      <c r="I56" s="26">
        <f t="shared" ref="I56:I59" si="67">SUM(Z56:AC56)</f>
        <v>631.08000000000004</v>
      </c>
      <c r="J56" s="38">
        <f t="shared" si="63"/>
        <v>0.65912138181244595</v>
      </c>
      <c r="K56" s="44"/>
      <c r="L56" s="17"/>
      <c r="N56" s="26">
        <v>257.63</v>
      </c>
      <c r="O56" s="26">
        <v>0</v>
      </c>
      <c r="P56" s="26">
        <v>0</v>
      </c>
      <c r="Q56" s="26">
        <f>F56-SUM(N56:P56)</f>
        <v>181.72000000000003</v>
      </c>
      <c r="R56" s="26">
        <v>193.65</v>
      </c>
      <c r="S56" s="26">
        <v>170.73999999999998</v>
      </c>
      <c r="T56" s="26">
        <v>175.77</v>
      </c>
      <c r="U56" s="26">
        <f>G56-SUM(R56:T56)</f>
        <v>138.18000000000006</v>
      </c>
      <c r="V56" s="26">
        <v>99</v>
      </c>
      <c r="W56" s="26">
        <v>93.300000000000011</v>
      </c>
      <c r="X56" s="26">
        <v>76.039999999999964</v>
      </c>
      <c r="Y56" s="26">
        <v>112.03000000000003</v>
      </c>
      <c r="Z56" s="26">
        <v>125.71</v>
      </c>
      <c r="AA56" s="26">
        <v>151.40000000000003</v>
      </c>
      <c r="AB56" s="26">
        <v>206.26</v>
      </c>
      <c r="AC56" s="26">
        <v>147.71000000000004</v>
      </c>
      <c r="AD56" s="69">
        <f t="shared" si="64"/>
        <v>0.31848611978934205</v>
      </c>
      <c r="AE56" s="69">
        <f t="shared" si="65"/>
        <v>-0.28386502472607367</v>
      </c>
      <c r="AF56" s="69"/>
      <c r="AG56" s="119"/>
      <c r="AH56" s="119"/>
    </row>
    <row r="57" spans="1:34" x14ac:dyDescent="0.35">
      <c r="A57" s="1" t="s">
        <v>43</v>
      </c>
      <c r="B57" s="26">
        <v>38.07</v>
      </c>
      <c r="C57" s="26">
        <v>67.899999999999991</v>
      </c>
      <c r="D57" s="26">
        <v>206.33</v>
      </c>
      <c r="E57" s="26">
        <v>400.55</v>
      </c>
      <c r="F57" s="26">
        <f>F86</f>
        <v>390.95</v>
      </c>
      <c r="G57" s="26">
        <f>G86</f>
        <v>508.22999999999996</v>
      </c>
      <c r="H57" s="26">
        <f t="shared" si="66"/>
        <v>750.64000000000033</v>
      </c>
      <c r="I57" s="26">
        <f t="shared" si="67"/>
        <v>1238.23</v>
      </c>
      <c r="J57" s="38">
        <f t="shared" si="63"/>
        <v>0.64956570393264346</v>
      </c>
      <c r="K57" s="44"/>
      <c r="L57" s="17"/>
      <c r="N57" s="26">
        <f t="shared" ref="N57:V57" si="68">N86</f>
        <v>68.119999999999976</v>
      </c>
      <c r="O57" s="26">
        <f t="shared" si="68"/>
        <v>110.56</v>
      </c>
      <c r="P57" s="26">
        <f t="shared" si="68"/>
        <v>80.789999999999992</v>
      </c>
      <c r="Q57" s="26">
        <f t="shared" si="68"/>
        <v>131.47999999999999</v>
      </c>
      <c r="R57" s="26">
        <f t="shared" si="68"/>
        <v>133</v>
      </c>
      <c r="S57" s="26">
        <f t="shared" si="68"/>
        <v>136.07</v>
      </c>
      <c r="T57" s="26">
        <f t="shared" si="68"/>
        <v>126.77</v>
      </c>
      <c r="U57" s="26">
        <f t="shared" si="68"/>
        <v>112.39</v>
      </c>
      <c r="V57" s="26">
        <f t="shared" si="68"/>
        <v>144.56</v>
      </c>
      <c r="W57" s="26">
        <v>163.59</v>
      </c>
      <c r="X57" s="26">
        <v>178.72999999999996</v>
      </c>
      <c r="Y57" s="26">
        <v>263.76000000000039</v>
      </c>
      <c r="Z57" s="26">
        <v>306.18999999999994</v>
      </c>
      <c r="AA57" s="26">
        <v>280.64999999999998</v>
      </c>
      <c r="AB57" s="26">
        <v>294.90000000000009</v>
      </c>
      <c r="AC57" s="26">
        <v>356.49</v>
      </c>
      <c r="AD57" s="69">
        <f t="shared" si="64"/>
        <v>0.35156960873521181</v>
      </c>
      <c r="AE57" s="69">
        <f t="shared" si="65"/>
        <v>0.20885045778229872</v>
      </c>
      <c r="AF57" s="69"/>
      <c r="AG57" s="119"/>
      <c r="AH57" s="119"/>
    </row>
    <row r="58" spans="1:34" s="2" customFormat="1" x14ac:dyDescent="0.35">
      <c r="A58" s="2" t="s">
        <v>26</v>
      </c>
      <c r="B58" s="4">
        <f t="shared" ref="B58:G58" si="69">SUM(B55:B57)</f>
        <v>915.77</v>
      </c>
      <c r="C58" s="4">
        <f t="shared" si="69"/>
        <v>1342.3700000000003</v>
      </c>
      <c r="D58" s="4">
        <f t="shared" si="69"/>
        <v>2710.2399999999989</v>
      </c>
      <c r="E58" s="4">
        <f t="shared" si="69"/>
        <v>4196.75</v>
      </c>
      <c r="F58" s="4">
        <f t="shared" si="69"/>
        <v>4891.6099999999997</v>
      </c>
      <c r="G58" s="4">
        <f t="shared" si="69"/>
        <v>5957.0099999999993</v>
      </c>
      <c r="H58" s="4">
        <f t="shared" ref="H58:I58" si="70">SUM(H55:H57)</f>
        <v>7955.98</v>
      </c>
      <c r="I58" s="4">
        <f t="shared" si="70"/>
        <v>11565.449999999999</v>
      </c>
      <c r="J58" s="95">
        <f t="shared" si="63"/>
        <v>0.45368012488719178</v>
      </c>
      <c r="K58" s="44"/>
      <c r="L58" s="17"/>
      <c r="N58" s="4">
        <f t="shared" ref="N58:U58" si="71">SUM(N55:N57)</f>
        <v>1342.21</v>
      </c>
      <c r="O58" s="4">
        <f t="shared" si="71"/>
        <v>1088.05</v>
      </c>
      <c r="P58" s="4">
        <f t="shared" si="71"/>
        <v>1102.8700000000001</v>
      </c>
      <c r="Q58" s="4">
        <f t="shared" si="71"/>
        <v>1358.48</v>
      </c>
      <c r="R58" s="4">
        <f t="shared" si="71"/>
        <v>1417.92</v>
      </c>
      <c r="S58" s="4">
        <f t="shared" si="71"/>
        <v>1461.19</v>
      </c>
      <c r="T58" s="4">
        <f>SUM(T55:T57)</f>
        <v>1517.04</v>
      </c>
      <c r="U58" s="4">
        <f t="shared" si="71"/>
        <v>1560.8600000000001</v>
      </c>
      <c r="V58" s="4">
        <f t="shared" ref="V58" si="72">SUM(V55:V57)</f>
        <v>1693.45</v>
      </c>
      <c r="W58" s="4">
        <f t="shared" ref="W58:AB58" si="73">SUM(W55:W57)</f>
        <v>1894.0799999999997</v>
      </c>
      <c r="X58" s="4">
        <f t="shared" si="73"/>
        <v>2055.4199999999996</v>
      </c>
      <c r="Y58" s="4">
        <f t="shared" si="73"/>
        <v>2313.0300000000002</v>
      </c>
      <c r="Z58" s="4">
        <f t="shared" si="73"/>
        <v>2598.0700000000002</v>
      </c>
      <c r="AA58" s="4">
        <f t="shared" si="73"/>
        <v>2779.8100000000022</v>
      </c>
      <c r="AB58" s="4">
        <f t="shared" si="73"/>
        <v>3010.0999999999981</v>
      </c>
      <c r="AC58" s="4">
        <f>SUM(AC55:AC57)</f>
        <v>3177.4699999999993</v>
      </c>
      <c r="AD58" s="71">
        <f t="shared" si="64"/>
        <v>0.37372623787845338</v>
      </c>
      <c r="AE58" s="71">
        <f t="shared" si="65"/>
        <v>5.5602803893558761E-2</v>
      </c>
      <c r="AF58" s="71"/>
      <c r="AG58" s="119"/>
      <c r="AH58" s="119"/>
    </row>
    <row r="59" spans="1:34" x14ac:dyDescent="0.35">
      <c r="A59" s="1" t="s">
        <v>128</v>
      </c>
      <c r="B59" s="26">
        <v>532.85</v>
      </c>
      <c r="C59" s="26">
        <v>647.11</v>
      </c>
      <c r="D59" s="26">
        <v>1248.83</v>
      </c>
      <c r="E59" s="26">
        <v>1912.23</v>
      </c>
      <c r="F59" s="26">
        <v>2165.84</v>
      </c>
      <c r="G59" s="26">
        <v>2148.15</v>
      </c>
      <c r="H59" s="26">
        <f>SUM(V59:Y59)</f>
        <v>3032.5600000000004</v>
      </c>
      <c r="I59" s="26">
        <f t="shared" si="67"/>
        <v>4986.6099999999997</v>
      </c>
      <c r="J59" s="38">
        <f t="shared" si="63"/>
        <v>0.64435658321681988</v>
      </c>
      <c r="K59" s="44"/>
      <c r="L59" s="17"/>
      <c r="N59" s="26">
        <v>538.04</v>
      </c>
      <c r="O59" s="26">
        <f>1099.79-N59</f>
        <v>561.75</v>
      </c>
      <c r="P59" s="26">
        <v>531.54999999999995</v>
      </c>
      <c r="Q59" s="26">
        <v>534.5</v>
      </c>
      <c r="R59" s="26">
        <v>526.91999999999996</v>
      </c>
      <c r="S59" s="26">
        <f>1067.71-R59</f>
        <v>540.79000000000008</v>
      </c>
      <c r="T59" s="26">
        <v>544.54</v>
      </c>
      <c r="U59" s="26">
        <f>G59-SUM(R59:T59)</f>
        <v>535.90000000000009</v>
      </c>
      <c r="V59" s="26">
        <v>604.64</v>
      </c>
      <c r="W59" s="26">
        <v>709.02</v>
      </c>
      <c r="X59" s="26">
        <v>792.9799999999999</v>
      </c>
      <c r="Y59" s="26">
        <v>925.92000000000053</v>
      </c>
      <c r="Z59" s="26">
        <v>1064.93</v>
      </c>
      <c r="AA59" s="26">
        <v>1167.3499999999997</v>
      </c>
      <c r="AB59" s="26">
        <v>1298.9700000000005</v>
      </c>
      <c r="AC59" s="26">
        <v>1455.3599999999997</v>
      </c>
      <c r="AD59" s="69">
        <f t="shared" si="64"/>
        <v>0.57179885951269971</v>
      </c>
      <c r="AE59" s="69">
        <f t="shared" si="65"/>
        <v>0.12039539019376821</v>
      </c>
      <c r="AF59" s="69"/>
      <c r="AG59" s="119"/>
      <c r="AH59" s="119"/>
    </row>
    <row r="60" spans="1:34" s="2" customFormat="1" x14ac:dyDescent="0.35">
      <c r="A60" s="2" t="s">
        <v>25</v>
      </c>
      <c r="B60" s="4">
        <f t="shared" ref="B60:G60" si="74">B55-B59</f>
        <v>318.92999999999995</v>
      </c>
      <c r="C60" s="4">
        <f t="shared" si="74"/>
        <v>627.36000000000024</v>
      </c>
      <c r="D60" s="4">
        <f t="shared" si="74"/>
        <v>1040.3199999999993</v>
      </c>
      <c r="E60" s="4">
        <f t="shared" si="74"/>
        <v>1512.7499999999995</v>
      </c>
      <c r="F60" s="4">
        <f t="shared" si="74"/>
        <v>1895.4699999999998</v>
      </c>
      <c r="G60" s="4">
        <f t="shared" si="74"/>
        <v>2622.2899999999995</v>
      </c>
      <c r="H60" s="4">
        <f t="shared" ref="H60:I60" si="75">H55-H59</f>
        <v>3792.4099999999989</v>
      </c>
      <c r="I60" s="4">
        <f t="shared" si="75"/>
        <v>4709.53</v>
      </c>
      <c r="J60" s="95">
        <f t="shared" si="63"/>
        <v>0.24183039281090424</v>
      </c>
      <c r="K60" s="44"/>
      <c r="L60" s="17"/>
      <c r="N60" s="4">
        <f t="shared" ref="N60:U60" si="76">N55-N59</f>
        <v>478.42000000000007</v>
      </c>
      <c r="O60" s="4">
        <f t="shared" si="76"/>
        <v>415.74</v>
      </c>
      <c r="P60" s="4">
        <f t="shared" si="76"/>
        <v>490.53000000000009</v>
      </c>
      <c r="Q60" s="4">
        <f t="shared" si="76"/>
        <v>510.78</v>
      </c>
      <c r="R60" s="4">
        <f t="shared" si="76"/>
        <v>564.35</v>
      </c>
      <c r="S60" s="4">
        <f t="shared" si="76"/>
        <v>613.59</v>
      </c>
      <c r="T60" s="4">
        <f>T55-T59</f>
        <v>669.96</v>
      </c>
      <c r="U60" s="4">
        <f t="shared" si="76"/>
        <v>774.38999999999987</v>
      </c>
      <c r="V60" s="4">
        <f t="shared" ref="V60:W60" si="77">V55-V59</f>
        <v>845.25000000000011</v>
      </c>
      <c r="W60" s="4">
        <f t="shared" si="77"/>
        <v>928.16999999999985</v>
      </c>
      <c r="X60" s="4">
        <f t="shared" ref="X60:Y60" si="78">X55-X59</f>
        <v>1007.67</v>
      </c>
      <c r="Y60" s="4">
        <f t="shared" si="78"/>
        <v>1011.3199999999993</v>
      </c>
      <c r="Z60" s="4">
        <f t="shared" ref="Z60:AA60" si="79">Z55-Z59</f>
        <v>1101.24</v>
      </c>
      <c r="AA60" s="4">
        <f t="shared" si="79"/>
        <v>1180.4100000000024</v>
      </c>
      <c r="AB60" s="4">
        <f t="shared" ref="AB60:AC60" si="80">AB55-AB59</f>
        <v>1209.9699999999973</v>
      </c>
      <c r="AC60" s="4">
        <f t="shared" si="80"/>
        <v>1217.9099999999999</v>
      </c>
      <c r="AD60" s="71">
        <f t="shared" si="64"/>
        <v>0.20427757781908862</v>
      </c>
      <c r="AE60" s="71">
        <f t="shared" si="65"/>
        <v>6.5621461689153726E-3</v>
      </c>
      <c r="AF60" s="71"/>
      <c r="AG60" s="117"/>
      <c r="AH60" s="119"/>
    </row>
    <row r="61" spans="1:34" s="2" customFormat="1" x14ac:dyDescent="0.35">
      <c r="A61" s="2" t="s">
        <v>182</v>
      </c>
      <c r="B61" s="4">
        <f t="shared" ref="B61:G61" si="81">B58-B59</f>
        <v>382.91999999999996</v>
      </c>
      <c r="C61" s="4">
        <f t="shared" si="81"/>
        <v>695.26000000000033</v>
      </c>
      <c r="D61" s="4">
        <f t="shared" si="81"/>
        <v>1461.4099999999989</v>
      </c>
      <c r="E61" s="4">
        <f t="shared" si="81"/>
        <v>2284.52</v>
      </c>
      <c r="F61" s="4">
        <f t="shared" si="81"/>
        <v>2725.7699999999995</v>
      </c>
      <c r="G61" s="4">
        <f t="shared" si="81"/>
        <v>3808.8599999999992</v>
      </c>
      <c r="H61" s="4">
        <f t="shared" ref="H61:I61" si="82">H58-H59</f>
        <v>4923.4199999999992</v>
      </c>
      <c r="I61" s="4">
        <f t="shared" si="82"/>
        <v>6578.8399999999992</v>
      </c>
      <c r="J61" s="95">
        <f t="shared" si="63"/>
        <v>0.33623375621011409</v>
      </c>
      <c r="K61" s="44"/>
      <c r="L61" s="17"/>
      <c r="N61" s="4">
        <f t="shared" ref="N61:U61" si="83">N58-N59</f>
        <v>804.17000000000007</v>
      </c>
      <c r="O61" s="4">
        <f t="shared" si="83"/>
        <v>526.29999999999995</v>
      </c>
      <c r="P61" s="4">
        <f t="shared" si="83"/>
        <v>571.32000000000016</v>
      </c>
      <c r="Q61" s="4">
        <f t="shared" si="83"/>
        <v>823.98</v>
      </c>
      <c r="R61" s="4">
        <f t="shared" si="83"/>
        <v>891.00000000000011</v>
      </c>
      <c r="S61" s="4">
        <f t="shared" si="83"/>
        <v>920.4</v>
      </c>
      <c r="T61" s="4">
        <f>T58-T59</f>
        <v>972.5</v>
      </c>
      <c r="U61" s="4">
        <f t="shared" si="83"/>
        <v>1024.96</v>
      </c>
      <c r="V61" s="4">
        <f t="shared" ref="V61:W61" si="84">V58-V59</f>
        <v>1088.81</v>
      </c>
      <c r="W61" s="4">
        <f t="shared" si="84"/>
        <v>1185.0599999999997</v>
      </c>
      <c r="X61" s="4">
        <f t="shared" ref="X61:Y61" si="85">X58-X59</f>
        <v>1262.4399999999996</v>
      </c>
      <c r="Y61" s="4">
        <f t="shared" si="85"/>
        <v>1387.1099999999997</v>
      </c>
      <c r="Z61" s="4">
        <f t="shared" ref="Z61:AA61" si="86">Z58-Z59</f>
        <v>1533.14</v>
      </c>
      <c r="AA61" s="4">
        <f t="shared" si="86"/>
        <v>1612.4600000000025</v>
      </c>
      <c r="AB61" s="4">
        <f t="shared" ref="AB61:AC61" si="87">AB58-AB59</f>
        <v>1711.1299999999976</v>
      </c>
      <c r="AC61" s="4">
        <f t="shared" si="87"/>
        <v>1722.1099999999997</v>
      </c>
      <c r="AD61" s="71">
        <f t="shared" si="64"/>
        <v>0.24150932514364398</v>
      </c>
      <c r="AE61" s="71">
        <f t="shared" si="65"/>
        <v>6.4168122819434625E-3</v>
      </c>
      <c r="AF61" s="71"/>
      <c r="AG61" s="117"/>
      <c r="AH61" s="119"/>
    </row>
    <row r="62" spans="1:34" x14ac:dyDescent="0.35">
      <c r="A62" s="1" t="s">
        <v>44</v>
      </c>
      <c r="B62" s="3">
        <f t="shared" ref="B62:G62" si="88">SUM(B63:B66)</f>
        <v>262</v>
      </c>
      <c r="C62" s="3">
        <f t="shared" si="88"/>
        <v>423.82000000000005</v>
      </c>
      <c r="D62" s="3">
        <f t="shared" si="88"/>
        <v>735.41</v>
      </c>
      <c r="E62" s="3">
        <f t="shared" si="88"/>
        <v>1046.1500000000001</v>
      </c>
      <c r="F62" s="3">
        <f t="shared" si="88"/>
        <v>1063.8100000000002</v>
      </c>
      <c r="G62" s="3">
        <f t="shared" si="88"/>
        <v>1295.69</v>
      </c>
      <c r="H62" s="3">
        <f t="shared" ref="H62:I62" si="89">SUM(H63:H66)</f>
        <v>1755.9900000000002</v>
      </c>
      <c r="I62" s="3">
        <f t="shared" si="89"/>
        <v>2324.92</v>
      </c>
      <c r="J62" s="96">
        <f t="shared" si="63"/>
        <v>0.32399387240246225</v>
      </c>
      <c r="K62" s="44"/>
      <c r="L62" s="17"/>
      <c r="N62" s="3">
        <f t="shared" ref="N62:U62" si="90">SUM(N63:N66)</f>
        <v>231.95000000000002</v>
      </c>
      <c r="O62" s="3">
        <f t="shared" si="90"/>
        <v>231.06999999999996</v>
      </c>
      <c r="P62" s="3">
        <f t="shared" si="90"/>
        <v>285.40000000000003</v>
      </c>
      <c r="Q62" s="3">
        <f t="shared" si="90"/>
        <v>315.39000000000004</v>
      </c>
      <c r="R62" s="3">
        <f t="shared" si="90"/>
        <v>284.3</v>
      </c>
      <c r="S62" s="3">
        <f t="shared" si="90"/>
        <v>324.04999999999995</v>
      </c>
      <c r="T62" s="3">
        <f>SUM(T63:T66)</f>
        <v>321.33000000000004</v>
      </c>
      <c r="U62" s="3">
        <f t="shared" si="90"/>
        <v>366.01000000000005</v>
      </c>
      <c r="V62" s="3">
        <f t="shared" ref="V62:W62" si="91">SUM(V63:V66)</f>
        <v>389.69</v>
      </c>
      <c r="W62" s="3">
        <f t="shared" si="91"/>
        <v>443.65</v>
      </c>
      <c r="X62" s="3">
        <f t="shared" ref="X62:Y62" si="92">SUM(X63:X66)</f>
        <v>445.14000000000004</v>
      </c>
      <c r="Y62" s="3">
        <f t="shared" si="92"/>
        <v>477.51000000000016</v>
      </c>
      <c r="Z62" s="3">
        <f t="shared" ref="Z62:AA62" si="93">SUM(Z63:Z66)</f>
        <v>555.98</v>
      </c>
      <c r="AA62" s="3">
        <f t="shared" si="93"/>
        <v>568.06999999999994</v>
      </c>
      <c r="AB62" s="3">
        <f t="shared" ref="AB62:AC62" si="94">SUM(AB63:AB66)</f>
        <v>613.64999999999986</v>
      </c>
      <c r="AC62" s="3">
        <f t="shared" si="94"/>
        <v>587.22</v>
      </c>
      <c r="AD62" s="69">
        <f t="shared" si="64"/>
        <v>0.2297543506942259</v>
      </c>
      <c r="AE62" s="69">
        <f t="shared" si="65"/>
        <v>-4.3070153996577543E-2</v>
      </c>
      <c r="AF62" s="69"/>
      <c r="AG62" s="119"/>
      <c r="AH62" s="119"/>
    </row>
    <row r="63" spans="1:34" s="15" customFormat="1" x14ac:dyDescent="0.35">
      <c r="A63" s="15" t="s">
        <v>27</v>
      </c>
      <c r="B63" s="36">
        <v>149.97000000000003</v>
      </c>
      <c r="C63" s="36">
        <v>249.55000000000007</v>
      </c>
      <c r="D63" s="36">
        <v>431.74</v>
      </c>
      <c r="E63" s="36">
        <v>610.75</v>
      </c>
      <c r="F63" s="36">
        <v>661.26</v>
      </c>
      <c r="G63" s="36">
        <v>807.7</v>
      </c>
      <c r="H63" s="36">
        <f t="shared" ref="H63:H71" si="95">SUM(V63:Y63)</f>
        <v>1070.1300000000001</v>
      </c>
      <c r="I63" s="36">
        <f t="shared" ref="I63:I71" si="96">SUM(Z63:AC63)</f>
        <v>1483.4399999999998</v>
      </c>
      <c r="J63" s="38">
        <f t="shared" si="63"/>
        <v>0.38622410361357939</v>
      </c>
      <c r="K63" s="44"/>
      <c r="L63" s="17"/>
      <c r="M63" s="52"/>
      <c r="N63" s="36">
        <v>145.70000000000002</v>
      </c>
      <c r="O63" s="36">
        <f>298.01-N63</f>
        <v>152.30999999999997</v>
      </c>
      <c r="P63" s="36">
        <v>173.9</v>
      </c>
      <c r="Q63" s="36">
        <f t="shared" ref="Q63:Q70" si="97">F63-SUM(N63:P63)</f>
        <v>189.35000000000002</v>
      </c>
      <c r="R63" s="36">
        <v>185.51000000000002</v>
      </c>
      <c r="S63" s="36">
        <f>377.04-R63</f>
        <v>191.53</v>
      </c>
      <c r="T63" s="36">
        <v>201.23</v>
      </c>
      <c r="U63" s="36">
        <f>G63-SUM(R63:T63)</f>
        <v>229.43000000000006</v>
      </c>
      <c r="V63" s="36">
        <v>255.82</v>
      </c>
      <c r="W63" s="36">
        <v>265.70999999999998</v>
      </c>
      <c r="X63" s="36">
        <v>273.7</v>
      </c>
      <c r="Y63" s="36">
        <v>274.90000000000009</v>
      </c>
      <c r="Z63" s="36">
        <v>359.05</v>
      </c>
      <c r="AA63" s="36">
        <v>368.71999999999997</v>
      </c>
      <c r="AB63" s="36">
        <v>390.09999999999985</v>
      </c>
      <c r="AC63" s="36">
        <v>365.56999999999994</v>
      </c>
      <c r="AD63" s="69">
        <f t="shared" si="64"/>
        <v>0.32982902873772213</v>
      </c>
      <c r="AE63" s="69">
        <f t="shared" si="65"/>
        <v>-6.2881312483978324E-2</v>
      </c>
      <c r="AF63" s="65"/>
      <c r="AG63" s="119"/>
      <c r="AH63" s="119"/>
    </row>
    <row r="64" spans="1:34" s="15" customFormat="1" x14ac:dyDescent="0.35">
      <c r="A64" s="15" t="s">
        <v>28</v>
      </c>
      <c r="B64" s="36">
        <v>88.89</v>
      </c>
      <c r="C64" s="36">
        <v>137.11000000000001</v>
      </c>
      <c r="D64" s="36">
        <v>241.29</v>
      </c>
      <c r="E64" s="36">
        <v>336.96</v>
      </c>
      <c r="F64" s="36">
        <v>318.16000000000003</v>
      </c>
      <c r="G64" s="36">
        <v>404.26</v>
      </c>
      <c r="H64" s="36">
        <f t="shared" si="95"/>
        <v>584.87000000000012</v>
      </c>
      <c r="I64" s="36">
        <f t="shared" si="96"/>
        <v>712.18000000000006</v>
      </c>
      <c r="J64" s="38">
        <f t="shared" si="63"/>
        <v>0.21767230324687525</v>
      </c>
      <c r="K64" s="44"/>
      <c r="L64" s="17"/>
      <c r="M64" s="47"/>
      <c r="N64" s="36">
        <v>64.3</v>
      </c>
      <c r="O64" s="36">
        <v>57.3</v>
      </c>
      <c r="P64" s="36">
        <v>90.64</v>
      </c>
      <c r="Q64" s="36">
        <v>105.92</v>
      </c>
      <c r="R64" s="36">
        <v>78.05</v>
      </c>
      <c r="S64" s="36">
        <v>111.38</v>
      </c>
      <c r="T64" s="36">
        <v>99.01</v>
      </c>
      <c r="U64" s="36">
        <v>115.82</v>
      </c>
      <c r="V64" s="36">
        <v>111.31</v>
      </c>
      <c r="W64" s="36">
        <v>152.91999999999999</v>
      </c>
      <c r="X64" s="36">
        <v>145.63000000000005</v>
      </c>
      <c r="Y64" s="36">
        <v>175.01000000000005</v>
      </c>
      <c r="Z64" s="36">
        <v>167.67000000000002</v>
      </c>
      <c r="AA64" s="36">
        <v>168.14</v>
      </c>
      <c r="AB64" s="36">
        <v>190.32999999999998</v>
      </c>
      <c r="AC64" s="36">
        <v>186.04000000000008</v>
      </c>
      <c r="AD64" s="69">
        <f t="shared" si="64"/>
        <v>6.3024970001714253E-2</v>
      </c>
      <c r="AE64" s="69">
        <f t="shared" si="65"/>
        <v>-2.2539799295959173E-2</v>
      </c>
      <c r="AF64" s="65"/>
      <c r="AG64" s="119"/>
      <c r="AH64" s="119"/>
    </row>
    <row r="65" spans="1:34" s="15" customFormat="1" x14ac:dyDescent="0.35">
      <c r="A65" s="15" t="s">
        <v>29</v>
      </c>
      <c r="B65" s="36">
        <v>15.55</v>
      </c>
      <c r="C65" s="36">
        <v>24.63</v>
      </c>
      <c r="D65" s="36">
        <v>45.77</v>
      </c>
      <c r="E65" s="36">
        <v>72.39</v>
      </c>
      <c r="F65" s="36">
        <v>76.239999999999995</v>
      </c>
      <c r="G65" s="36">
        <v>75.209999999999994</v>
      </c>
      <c r="H65" s="36">
        <f t="shared" si="95"/>
        <v>90.660000000000011</v>
      </c>
      <c r="I65" s="36">
        <f t="shared" si="96"/>
        <v>117.29</v>
      </c>
      <c r="J65" s="38">
        <f t="shared" si="63"/>
        <v>0.29373483344363538</v>
      </c>
      <c r="K65" s="44"/>
      <c r="L65" s="17"/>
      <c r="N65" s="36">
        <v>19.619999999999997</v>
      </c>
      <c r="O65" s="36">
        <f>38.99-N65</f>
        <v>19.370000000000005</v>
      </c>
      <c r="P65" s="36">
        <v>18.920000000000002</v>
      </c>
      <c r="Q65" s="36">
        <f t="shared" si="97"/>
        <v>18.329999999999991</v>
      </c>
      <c r="R65" s="36">
        <v>18.830000000000002</v>
      </c>
      <c r="S65" s="36">
        <f>37.89-R65</f>
        <v>19.059999999999999</v>
      </c>
      <c r="T65" s="36">
        <v>18.8</v>
      </c>
      <c r="U65" s="36">
        <f>G65-SUM(R65:T65)</f>
        <v>18.519999999999996</v>
      </c>
      <c r="V65" s="36">
        <v>20.2</v>
      </c>
      <c r="W65" s="36">
        <v>22.44</v>
      </c>
      <c r="X65" s="36">
        <v>23.27</v>
      </c>
      <c r="Y65" s="36">
        <v>24.750000000000014</v>
      </c>
      <c r="Z65" s="36">
        <v>26.459999999999997</v>
      </c>
      <c r="AA65" s="36">
        <v>28.450000000000006</v>
      </c>
      <c r="AB65" s="36">
        <v>30.070000000000004</v>
      </c>
      <c r="AC65" s="36">
        <v>32.31</v>
      </c>
      <c r="AD65" s="69">
        <f t="shared" si="64"/>
        <v>0.30545454545454476</v>
      </c>
      <c r="AE65" s="69">
        <f t="shared" si="65"/>
        <v>7.4492850016627754E-2</v>
      </c>
      <c r="AF65" s="65"/>
      <c r="AG65" s="119"/>
      <c r="AH65" s="119"/>
    </row>
    <row r="66" spans="1:34" s="15" customFormat="1" x14ac:dyDescent="0.35">
      <c r="A66" s="15" t="s">
        <v>151</v>
      </c>
      <c r="B66" s="36">
        <v>7.59</v>
      </c>
      <c r="C66" s="36">
        <v>12.530000000000001</v>
      </c>
      <c r="D66" s="36">
        <v>16.609999999999996</v>
      </c>
      <c r="E66" s="36">
        <v>26.05</v>
      </c>
      <c r="F66" s="36">
        <v>8.15</v>
      </c>
      <c r="G66" s="36">
        <v>8.52</v>
      </c>
      <c r="H66" s="36">
        <f t="shared" si="95"/>
        <v>10.33</v>
      </c>
      <c r="I66" s="36">
        <f t="shared" si="96"/>
        <v>12.01</v>
      </c>
      <c r="J66" s="38">
        <f t="shared" si="63"/>
        <v>0.16263310745401749</v>
      </c>
      <c r="K66" s="44"/>
      <c r="L66" s="17"/>
      <c r="N66" s="36">
        <v>2.33</v>
      </c>
      <c r="O66" s="36">
        <v>2.09</v>
      </c>
      <c r="P66" s="36">
        <v>1.94</v>
      </c>
      <c r="Q66" s="36">
        <v>1.79</v>
      </c>
      <c r="R66" s="36">
        <v>1.91</v>
      </c>
      <c r="S66" s="36">
        <v>2.08</v>
      </c>
      <c r="T66" s="36">
        <v>2.29</v>
      </c>
      <c r="U66" s="36">
        <v>2.2400000000000002</v>
      </c>
      <c r="V66" s="36">
        <v>2.36</v>
      </c>
      <c r="W66" s="36">
        <v>2.5800000000000005</v>
      </c>
      <c r="X66" s="36">
        <v>2.5400000000000005</v>
      </c>
      <c r="Y66" s="36">
        <v>2.8499999999999996</v>
      </c>
      <c r="Z66" s="36">
        <v>2.8</v>
      </c>
      <c r="AA66" s="36">
        <v>2.76</v>
      </c>
      <c r="AB66" s="36">
        <v>3.1500000000000012</v>
      </c>
      <c r="AC66" s="36">
        <v>3.2999999999999989</v>
      </c>
      <c r="AD66" s="69">
        <f t="shared" si="64"/>
        <v>0.15789473684210509</v>
      </c>
      <c r="AE66" s="69">
        <f t="shared" si="65"/>
        <v>4.7619047619046784E-2</v>
      </c>
      <c r="AF66" s="65"/>
      <c r="AG66" s="119"/>
      <c r="AH66" s="119"/>
    </row>
    <row r="67" spans="1:34" s="2" customFormat="1" x14ac:dyDescent="0.35">
      <c r="A67" s="2" t="s">
        <v>206</v>
      </c>
      <c r="B67" s="4">
        <f t="shared" ref="B67:G67" si="98">B61-B62</f>
        <v>120.91999999999996</v>
      </c>
      <c r="C67" s="4">
        <f t="shared" si="98"/>
        <v>271.44000000000028</v>
      </c>
      <c r="D67" s="4">
        <f t="shared" si="98"/>
        <v>725.99999999999898</v>
      </c>
      <c r="E67" s="4">
        <f t="shared" si="98"/>
        <v>1238.3699999999999</v>
      </c>
      <c r="F67" s="4">
        <f t="shared" si="98"/>
        <v>1661.9599999999994</v>
      </c>
      <c r="G67" s="4">
        <f t="shared" si="98"/>
        <v>2513.1699999999992</v>
      </c>
      <c r="H67" s="4">
        <f t="shared" ref="H67:I67" si="99">H61-H62</f>
        <v>3167.4299999999989</v>
      </c>
      <c r="I67" s="4">
        <f t="shared" si="99"/>
        <v>4253.9199999999992</v>
      </c>
      <c r="J67" s="95">
        <f t="shared" si="63"/>
        <v>0.34301941952939785</v>
      </c>
      <c r="K67" s="44"/>
      <c r="L67" s="17"/>
      <c r="N67" s="4">
        <f>N61-N62</f>
        <v>572.22</v>
      </c>
      <c r="O67" s="4">
        <f t="shared" ref="O67:U67" si="100">O61-O62</f>
        <v>295.23</v>
      </c>
      <c r="P67" s="4">
        <f t="shared" si="100"/>
        <v>285.92000000000013</v>
      </c>
      <c r="Q67" s="4">
        <f t="shared" si="100"/>
        <v>508.59</v>
      </c>
      <c r="R67" s="4">
        <f t="shared" si="100"/>
        <v>606.70000000000005</v>
      </c>
      <c r="S67" s="4">
        <f t="shared" si="100"/>
        <v>596.35</v>
      </c>
      <c r="T67" s="4">
        <f>T61-T62</f>
        <v>651.16999999999996</v>
      </c>
      <c r="U67" s="4">
        <f t="shared" si="100"/>
        <v>658.95</v>
      </c>
      <c r="V67" s="4">
        <f t="shared" ref="V67:W67" si="101">V61-V62</f>
        <v>699.11999999999989</v>
      </c>
      <c r="W67" s="4">
        <f t="shared" si="101"/>
        <v>741.40999999999974</v>
      </c>
      <c r="X67" s="4">
        <f t="shared" ref="X67:Y67" si="102">X61-X62</f>
        <v>817.2999999999995</v>
      </c>
      <c r="Y67" s="4">
        <f t="shared" si="102"/>
        <v>909.59999999999945</v>
      </c>
      <c r="Z67" s="4">
        <f t="shared" ref="Z67:AA67" si="103">Z61-Z62</f>
        <v>977.16000000000008</v>
      </c>
      <c r="AA67" s="4">
        <f t="shared" si="103"/>
        <v>1044.3900000000026</v>
      </c>
      <c r="AB67" s="4">
        <f t="shared" ref="AB67:AC67" si="104">AB61-AB62</f>
        <v>1097.4799999999977</v>
      </c>
      <c r="AC67" s="4">
        <f t="shared" si="104"/>
        <v>1134.8899999999996</v>
      </c>
      <c r="AD67" s="71">
        <f t="shared" si="64"/>
        <v>0.24768029903254218</v>
      </c>
      <c r="AE67" s="71">
        <f t="shared" si="65"/>
        <v>3.4087181543173362E-2</v>
      </c>
      <c r="AF67" s="71"/>
      <c r="AG67" s="117"/>
      <c r="AH67" s="119"/>
    </row>
    <row r="68" spans="1:34" x14ac:dyDescent="0.35">
      <c r="A68" s="1" t="s">
        <v>45</v>
      </c>
      <c r="B68" s="26">
        <v>17.37</v>
      </c>
      <c r="C68" s="26">
        <v>28.74</v>
      </c>
      <c r="D68" s="26">
        <v>73.13</v>
      </c>
      <c r="E68" s="26">
        <v>165.04</v>
      </c>
      <c r="F68" s="26">
        <v>321.52999999999997</v>
      </c>
      <c r="G68" s="26">
        <f>250.22</f>
        <v>250.22</v>
      </c>
      <c r="H68" s="26">
        <f t="shared" si="95"/>
        <v>215.23</v>
      </c>
      <c r="I68" s="26">
        <f t="shared" si="96"/>
        <v>254.32000000000002</v>
      </c>
      <c r="J68" s="38">
        <f t="shared" si="63"/>
        <v>0.1816196626864286</v>
      </c>
      <c r="K68" s="44"/>
      <c r="L68" s="17"/>
      <c r="N68" s="26">
        <v>44.61</v>
      </c>
      <c r="O68" s="26">
        <f>164.13-N68</f>
        <v>119.52</v>
      </c>
      <c r="P68" s="26">
        <v>73.94</v>
      </c>
      <c r="Q68" s="26">
        <f t="shared" si="97"/>
        <v>83.45999999999998</v>
      </c>
      <c r="R68" s="26">
        <v>130.41999999999999</v>
      </c>
      <c r="S68" s="26">
        <f>163.69-R68</f>
        <v>33.27000000000001</v>
      </c>
      <c r="T68" s="26">
        <v>59.7</v>
      </c>
      <c r="U68" s="26">
        <v>26.83</v>
      </c>
      <c r="V68" s="26">
        <v>36.15</v>
      </c>
      <c r="W68" s="26">
        <v>49.68</v>
      </c>
      <c r="X68" s="26">
        <v>59.85</v>
      </c>
      <c r="Y68" s="26">
        <v>69.549999999999983</v>
      </c>
      <c r="Z68" s="26">
        <v>76.86</v>
      </c>
      <c r="AA68" s="26">
        <v>79.969999999999985</v>
      </c>
      <c r="AB68" s="26">
        <v>70.050000000000026</v>
      </c>
      <c r="AC68" s="26">
        <v>27.440000000000026</v>
      </c>
      <c r="AD68" s="69">
        <f t="shared" si="64"/>
        <v>-0.60546369518332088</v>
      </c>
      <c r="AE68" s="69">
        <f t="shared" si="65"/>
        <v>-0.60827980014275496</v>
      </c>
      <c r="AF68" s="69"/>
      <c r="AG68" s="119"/>
      <c r="AH68" s="119"/>
    </row>
    <row r="69" spans="1:34" s="2" customFormat="1" x14ac:dyDescent="0.35">
      <c r="A69" s="2" t="s">
        <v>46</v>
      </c>
      <c r="B69" s="4">
        <f t="shared" ref="B69:G69" si="105">B67-B68</f>
        <v>103.54999999999995</v>
      </c>
      <c r="C69" s="4">
        <f t="shared" si="105"/>
        <v>242.70000000000027</v>
      </c>
      <c r="D69" s="4">
        <f t="shared" si="105"/>
        <v>652.86999999999898</v>
      </c>
      <c r="E69" s="4">
        <f t="shared" si="105"/>
        <v>1073.33</v>
      </c>
      <c r="F69" s="4">
        <f t="shared" si="105"/>
        <v>1340.4299999999994</v>
      </c>
      <c r="G69" s="4">
        <f t="shared" si="105"/>
        <v>2262.9499999999994</v>
      </c>
      <c r="H69" s="4">
        <f t="shared" ref="H69:I69" si="106">H67-H68</f>
        <v>2952.1999999999989</v>
      </c>
      <c r="I69" s="4">
        <f t="shared" si="106"/>
        <v>3999.599999999999</v>
      </c>
      <c r="J69" s="95">
        <f t="shared" si="63"/>
        <v>0.35478626109342204</v>
      </c>
      <c r="K69" s="44"/>
      <c r="L69" s="17"/>
      <c r="N69" s="4">
        <f>N67-N68</f>
        <v>527.61</v>
      </c>
      <c r="O69" s="4">
        <f t="shared" ref="O69:U69" si="107">O67-O68</f>
        <v>175.71000000000004</v>
      </c>
      <c r="P69" s="4">
        <f t="shared" si="107"/>
        <v>211.98000000000013</v>
      </c>
      <c r="Q69" s="4">
        <f t="shared" si="107"/>
        <v>425.13</v>
      </c>
      <c r="R69" s="4">
        <f t="shared" si="107"/>
        <v>476.28000000000009</v>
      </c>
      <c r="S69" s="4">
        <f t="shared" si="107"/>
        <v>563.08000000000004</v>
      </c>
      <c r="T69" s="4">
        <f>T67-T68</f>
        <v>591.46999999999991</v>
      </c>
      <c r="U69" s="4">
        <f t="shared" si="107"/>
        <v>632.12</v>
      </c>
      <c r="V69" s="4">
        <f t="shared" ref="V69:W69" si="108">V67-V68</f>
        <v>662.96999999999991</v>
      </c>
      <c r="W69" s="4">
        <f t="shared" si="108"/>
        <v>691.72999999999979</v>
      </c>
      <c r="X69" s="4">
        <f t="shared" ref="X69:Y69" si="109">X67-X68</f>
        <v>757.44999999999948</v>
      </c>
      <c r="Y69" s="4">
        <f t="shared" si="109"/>
        <v>840.0499999999995</v>
      </c>
      <c r="Z69" s="4">
        <f t="shared" ref="Z69:AA69" si="110">Z67-Z68</f>
        <v>900.30000000000007</v>
      </c>
      <c r="AA69" s="4">
        <f t="shared" si="110"/>
        <v>964.42000000000257</v>
      </c>
      <c r="AB69" s="4">
        <f t="shared" ref="AB69:AC69" si="111">AB67-AB68</f>
        <v>1027.4299999999978</v>
      </c>
      <c r="AC69" s="4">
        <f t="shared" si="111"/>
        <v>1107.4499999999996</v>
      </c>
      <c r="AD69" s="71">
        <f t="shared" si="64"/>
        <v>0.31831438604844986</v>
      </c>
      <c r="AE69" s="71">
        <f t="shared" si="65"/>
        <v>7.7883651440975976E-2</v>
      </c>
      <c r="AF69" s="71"/>
      <c r="AG69" s="133"/>
      <c r="AH69" s="119"/>
    </row>
    <row r="70" spans="1:34" x14ac:dyDescent="0.35">
      <c r="A70" s="1" t="s">
        <v>47</v>
      </c>
      <c r="B70" s="26">
        <v>36.79</v>
      </c>
      <c r="C70" s="26">
        <v>82.74</v>
      </c>
      <c r="D70" s="26">
        <v>195.63</v>
      </c>
      <c r="E70" s="26">
        <v>277.81</v>
      </c>
      <c r="F70" s="26">
        <v>339.01</v>
      </c>
      <c r="G70" s="26">
        <v>522.1</v>
      </c>
      <c r="H70" s="26">
        <f t="shared" si="95"/>
        <v>669.28</v>
      </c>
      <c r="I70" s="26">
        <f t="shared" si="96"/>
        <v>942.43000000000006</v>
      </c>
      <c r="J70" s="38">
        <f t="shared" si="63"/>
        <v>0.40812514941429612</v>
      </c>
      <c r="K70" s="44"/>
      <c r="L70" s="17"/>
      <c r="N70" s="26">
        <v>141.47</v>
      </c>
      <c r="O70" s="26">
        <f>173.84-N70</f>
        <v>32.370000000000005</v>
      </c>
      <c r="P70" s="26">
        <v>52.89</v>
      </c>
      <c r="Q70" s="26">
        <f t="shared" si="97"/>
        <v>112.27999999999997</v>
      </c>
      <c r="R70" s="26">
        <v>125.22</v>
      </c>
      <c r="S70" s="26">
        <f>239.63-R70+17.7</f>
        <v>132.10999999999999</v>
      </c>
      <c r="T70" s="26">
        <v>132.1</v>
      </c>
      <c r="U70" s="26">
        <v>150.37</v>
      </c>
      <c r="V70" s="26">
        <v>150.5</v>
      </c>
      <c r="W70" s="26">
        <v>148.99</v>
      </c>
      <c r="X70" s="26">
        <v>170.01999999999998</v>
      </c>
      <c r="Y70" s="26">
        <v>199.76999999999998</v>
      </c>
      <c r="Z70" s="26">
        <v>209.08</v>
      </c>
      <c r="AA70" s="26">
        <v>221.34</v>
      </c>
      <c r="AB70" s="26">
        <v>239.21999999999994</v>
      </c>
      <c r="AC70" s="26">
        <v>272.79000000000008</v>
      </c>
      <c r="AD70" s="69">
        <f t="shared" si="64"/>
        <v>0.36552034840066128</v>
      </c>
      <c r="AE70" s="69">
        <f t="shared" si="65"/>
        <v>0.14033107599699091</v>
      </c>
      <c r="AF70" s="69"/>
      <c r="AG70" s="119"/>
      <c r="AH70" s="119"/>
    </row>
    <row r="71" spans="1:34" x14ac:dyDescent="0.35">
      <c r="A71" s="1" t="s">
        <v>200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-120.13</v>
      </c>
      <c r="H71" s="26">
        <f t="shared" si="95"/>
        <v>0</v>
      </c>
      <c r="I71" s="26">
        <f t="shared" si="96"/>
        <v>0</v>
      </c>
      <c r="J71" s="38"/>
      <c r="K71" s="44"/>
      <c r="L71" s="17"/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-17.7</v>
      </c>
      <c r="T71" s="26">
        <v>0</v>
      </c>
      <c r="U71" s="26">
        <v>-120.13</v>
      </c>
      <c r="V71" s="26"/>
      <c r="W71" s="109"/>
      <c r="X71" s="109"/>
      <c r="Y71" s="109"/>
      <c r="Z71" s="109"/>
      <c r="AA71" s="109"/>
      <c r="AB71" s="109"/>
      <c r="AC71" s="109"/>
      <c r="AD71" s="69"/>
      <c r="AE71" s="69"/>
      <c r="AF71" s="69"/>
      <c r="AH71" s="119"/>
    </row>
    <row r="72" spans="1:34" s="2" customFormat="1" x14ac:dyDescent="0.35">
      <c r="A72" s="2" t="s">
        <v>48</v>
      </c>
      <c r="B72" s="4">
        <f t="shared" ref="B72:G72" si="112">B69-B70-B71</f>
        <v>66.759999999999962</v>
      </c>
      <c r="C72" s="4">
        <f t="shared" si="112"/>
        <v>159.96000000000026</v>
      </c>
      <c r="D72" s="4">
        <f t="shared" si="112"/>
        <v>457.23999999999899</v>
      </c>
      <c r="E72" s="4">
        <f t="shared" si="112"/>
        <v>795.52</v>
      </c>
      <c r="F72" s="4">
        <f t="shared" si="112"/>
        <v>1001.4199999999994</v>
      </c>
      <c r="G72" s="4">
        <f t="shared" si="112"/>
        <v>1860.9799999999996</v>
      </c>
      <c r="H72" s="4">
        <f t="shared" ref="H72:I72" si="113">H69-H70-H71</f>
        <v>2282.9199999999992</v>
      </c>
      <c r="I72" s="4">
        <f t="shared" si="113"/>
        <v>3057.1699999999992</v>
      </c>
      <c r="J72" s="91">
        <f>I72/H72-1</f>
        <v>0.33914898463371479</v>
      </c>
      <c r="K72" s="44"/>
      <c r="L72" s="17"/>
      <c r="N72" s="4">
        <f t="shared" ref="N72:U72" si="114">N69-N70-N71</f>
        <v>386.14</v>
      </c>
      <c r="O72" s="4">
        <f t="shared" si="114"/>
        <v>143.34000000000003</v>
      </c>
      <c r="P72" s="4">
        <f t="shared" si="114"/>
        <v>159.09000000000015</v>
      </c>
      <c r="Q72" s="4">
        <f t="shared" si="114"/>
        <v>312.85000000000002</v>
      </c>
      <c r="R72" s="4">
        <f t="shared" si="114"/>
        <v>351.06000000000006</v>
      </c>
      <c r="S72" s="4">
        <f t="shared" si="114"/>
        <v>448.67</v>
      </c>
      <c r="T72" s="4">
        <f t="shared" si="114"/>
        <v>459.36999999999989</v>
      </c>
      <c r="U72" s="4">
        <f t="shared" si="114"/>
        <v>601.88</v>
      </c>
      <c r="V72" s="4">
        <f t="shared" ref="V72:W72" si="115">V69-V70-V71</f>
        <v>512.46999999999991</v>
      </c>
      <c r="W72" s="4">
        <f t="shared" si="115"/>
        <v>542.73999999999978</v>
      </c>
      <c r="X72" s="4">
        <f t="shared" ref="X72:Y72" si="116">X69-X70-X71</f>
        <v>587.4299999999995</v>
      </c>
      <c r="Y72" s="4">
        <f t="shared" si="116"/>
        <v>640.27999999999952</v>
      </c>
      <c r="Z72" s="4">
        <f t="shared" ref="Z72:AA72" si="117">Z69-Z70-Z71</f>
        <v>691.22</v>
      </c>
      <c r="AA72" s="4">
        <f t="shared" si="117"/>
        <v>743.08000000000254</v>
      </c>
      <c r="AB72" s="4">
        <f t="shared" ref="AB72:AC72" si="118">AB69-AB70-AB71</f>
        <v>788.20999999999788</v>
      </c>
      <c r="AC72" s="4">
        <f t="shared" si="118"/>
        <v>834.65999999999951</v>
      </c>
      <c r="AD72" s="71">
        <f>IFERROR(AC72/Y72-1,"")</f>
        <v>0.30358593115511989</v>
      </c>
      <c r="AE72" s="71">
        <f>IFERROR(AC72/AB72-1,"")</f>
        <v>5.8930995546874199E-2</v>
      </c>
      <c r="AF72" s="71"/>
      <c r="AG72" s="117"/>
      <c r="AH72" s="119"/>
    </row>
    <row r="73" spans="1:34" x14ac:dyDescent="0.35">
      <c r="A73" s="1" t="s">
        <v>144</v>
      </c>
      <c r="B73" s="26">
        <v>51.604999999999997</v>
      </c>
      <c r="C73" s="26">
        <v>51.615000000000002</v>
      </c>
      <c r="D73" s="26">
        <v>63.339999999999996</v>
      </c>
      <c r="E73" s="26">
        <v>78.300000000000011</v>
      </c>
      <c r="F73" s="26">
        <v>87.4</v>
      </c>
      <c r="G73" s="26">
        <f>87633703/(10^6)</f>
        <v>87.633702999999997</v>
      </c>
      <c r="H73" s="26">
        <f>Y73</f>
        <v>88.016767000000002</v>
      </c>
      <c r="I73" s="26">
        <f>AC73</f>
        <v>88.516166999999996</v>
      </c>
      <c r="J73" s="30">
        <f>I73/H73-1</f>
        <v>5.6739189250156752E-3</v>
      </c>
      <c r="K73" s="44"/>
      <c r="L73" s="17"/>
      <c r="N73" s="26">
        <f>78297715/(10^6)</f>
        <v>78.297714999999997</v>
      </c>
      <c r="O73" s="26">
        <f>78392895/(10^6)</f>
        <v>78.392894999999996</v>
      </c>
      <c r="P73" s="26">
        <f>82270961/(10^6)</f>
        <v>82.270961</v>
      </c>
      <c r="Q73" s="26">
        <f>F73</f>
        <v>87.4</v>
      </c>
      <c r="R73" s="26">
        <f>87499373/(10^6)</f>
        <v>87.499373000000006</v>
      </c>
      <c r="S73" s="26">
        <f>87523704/(10^6)</f>
        <v>87.523703999999995</v>
      </c>
      <c r="T73" s="26">
        <f>87586843/(10^6)</f>
        <v>87.586843000000002</v>
      </c>
      <c r="U73" s="26">
        <f>G73</f>
        <v>87.633702999999997</v>
      </c>
      <c r="V73" s="26">
        <f>87686355/(10^6)</f>
        <v>87.686355000000006</v>
      </c>
      <c r="W73" s="26">
        <f>87729939/10^6</f>
        <v>87.729939000000002</v>
      </c>
      <c r="X73" s="26">
        <f>87845934/10^6</f>
        <v>87.845934</v>
      </c>
      <c r="Y73" s="26">
        <f>88016767/10^6</f>
        <v>88.016767000000002</v>
      </c>
      <c r="Z73" s="26">
        <f>88108094/10^6</f>
        <v>88.108093999999994</v>
      </c>
      <c r="AA73" s="26">
        <f>88172052/10^6</f>
        <v>88.172051999999994</v>
      </c>
      <c r="AB73" s="26">
        <f>88352034/10^6</f>
        <v>88.352034000000003</v>
      </c>
      <c r="AC73" s="26">
        <f>88516167/10^6</f>
        <v>88.516166999999996</v>
      </c>
      <c r="AD73" s="69">
        <f>IFERROR(AC73/Y73-1,"")</f>
        <v>5.6739189250156752E-3</v>
      </c>
      <c r="AE73" s="69">
        <f>IFERROR(AC73/AB73-1,"")</f>
        <v>1.8577161449389035E-3</v>
      </c>
      <c r="AF73" s="69"/>
      <c r="AH73" s="111"/>
    </row>
    <row r="74" spans="1:34" x14ac:dyDescent="0.35">
      <c r="A74" s="1" t="s">
        <v>183</v>
      </c>
      <c r="B74" s="35">
        <v>3.53</v>
      </c>
      <c r="C74" s="35">
        <v>3.1</v>
      </c>
      <c r="D74" s="35">
        <v>7.91</v>
      </c>
      <c r="E74" s="35">
        <v>10.81</v>
      </c>
      <c r="F74" s="35">
        <v>12.37</v>
      </c>
      <c r="G74" s="35">
        <v>21.26</v>
      </c>
      <c r="H74" s="35">
        <v>26.01</v>
      </c>
      <c r="I74" s="35">
        <v>34.65</v>
      </c>
      <c r="J74" s="30">
        <f>I74/H74-1</f>
        <v>0.33217993079584751</v>
      </c>
      <c r="K74" s="44"/>
      <c r="L74" s="17"/>
      <c r="N74" s="35">
        <v>4.93</v>
      </c>
      <c r="O74" s="35">
        <v>1.83</v>
      </c>
      <c r="P74" s="35">
        <v>1.95</v>
      </c>
      <c r="Q74" s="35">
        <v>3.65</v>
      </c>
      <c r="R74" s="35">
        <v>4.01</v>
      </c>
      <c r="S74" s="35">
        <v>5.13</v>
      </c>
      <c r="T74" s="35">
        <v>5.25</v>
      </c>
      <c r="U74" s="35">
        <v>6.87</v>
      </c>
      <c r="V74" s="35">
        <v>5.85</v>
      </c>
      <c r="W74" s="35">
        <v>6.19</v>
      </c>
      <c r="X74" s="35">
        <v>6.69</v>
      </c>
      <c r="Y74" s="35">
        <v>7.28</v>
      </c>
      <c r="Z74" s="35">
        <v>7.8479999999999999</v>
      </c>
      <c r="AA74" s="35">
        <v>8.43</v>
      </c>
      <c r="AB74" s="35">
        <v>8.93</v>
      </c>
      <c r="AC74" s="35">
        <v>9.43</v>
      </c>
      <c r="AD74" s="69">
        <f>IFERROR(AC74/Y74-1,"")</f>
        <v>0.29532967032967017</v>
      </c>
      <c r="AE74" s="69">
        <f>IFERROR(AC74/AB74-1,"")</f>
        <v>5.5991041433370636E-2</v>
      </c>
      <c r="AF74" s="69"/>
    </row>
    <row r="75" spans="1:34" s="2" customFormat="1" x14ac:dyDescent="0.35">
      <c r="A75" s="2" t="s">
        <v>30</v>
      </c>
      <c r="B75" s="4">
        <f t="shared" ref="B75:H75" si="119">B154/B73</f>
        <v>59.36595291153958</v>
      </c>
      <c r="C75" s="4">
        <f t="shared" si="119"/>
        <v>63.007846556233652</v>
      </c>
      <c r="D75" s="4">
        <f t="shared" si="119"/>
        <v>82.516735080517819</v>
      </c>
      <c r="E75" s="4">
        <f t="shared" si="119"/>
        <v>119.21149425287355</v>
      </c>
      <c r="F75" s="4">
        <f t="shared" si="119"/>
        <v>157.95686498855835</v>
      </c>
      <c r="G75" s="4">
        <f t="shared" si="119"/>
        <v>179.57531704440242</v>
      </c>
      <c r="H75" s="4">
        <f t="shared" si="119"/>
        <v>206.47645465096443</v>
      </c>
      <c r="I75" s="4">
        <f t="shared" ref="I75" si="120">I154/I73</f>
        <v>239.67203640889699</v>
      </c>
      <c r="J75" s="91">
        <f>I75/H75-1</f>
        <v>0.16077175392248777</v>
      </c>
      <c r="K75" s="44"/>
      <c r="L75" s="17"/>
      <c r="N75" s="4">
        <f t="shared" ref="N75:AB75" si="121">N154/N73</f>
        <v>124.2227822357268</v>
      </c>
      <c r="O75" s="4">
        <f t="shared" si="121"/>
        <v>126.02864073332157</v>
      </c>
      <c r="P75" s="4">
        <f t="shared" si="121"/>
        <v>132.73869500564118</v>
      </c>
      <c r="Q75" s="4">
        <f t="shared" si="121"/>
        <v>157.95686498855835</v>
      </c>
      <c r="R75" s="4">
        <f t="shared" si="121"/>
        <v>161.97418923219024</v>
      </c>
      <c r="S75" s="4">
        <f t="shared" si="121"/>
        <v>167.11906982364457</v>
      </c>
      <c r="T75" s="4">
        <f t="shared" si="121"/>
        <v>172.40306286641703</v>
      </c>
      <c r="U75" s="4">
        <f t="shared" si="121"/>
        <v>179.57531704440242</v>
      </c>
      <c r="V75" s="4">
        <f t="shared" si="121"/>
        <v>185.65271643461514</v>
      </c>
      <c r="W75" s="4">
        <f t="shared" si="121"/>
        <v>192.13725886666811</v>
      </c>
      <c r="X75" s="4">
        <f t="shared" si="121"/>
        <v>199.02230193147014</v>
      </c>
      <c r="Y75" s="4">
        <f t="shared" si="121"/>
        <v>206.47645465096443</v>
      </c>
      <c r="Z75" s="4">
        <f t="shared" si="121"/>
        <v>212.00912597201344</v>
      </c>
      <c r="AA75" s="4">
        <f t="shared" si="121"/>
        <v>220.78787505138254</v>
      </c>
      <c r="AB75" s="4">
        <f t="shared" si="121"/>
        <v>229.96686188345143</v>
      </c>
      <c r="AC75" s="4">
        <f t="shared" ref="AC75" si="122">AC154/AC73</f>
        <v>239.67203640889699</v>
      </c>
      <c r="AD75" s="69">
        <f>IFERROR(AC75/Y75-1,"")</f>
        <v>0.16077175392248777</v>
      </c>
      <c r="AE75" s="69">
        <f>IFERROR(AC75/AB75-1,"")</f>
        <v>4.2202491463157799E-2</v>
      </c>
      <c r="AF75" s="71"/>
      <c r="AG75" s="1"/>
    </row>
    <row r="76" spans="1:34" s="2" customFormat="1" x14ac:dyDescent="0.35">
      <c r="A76" s="2" t="s">
        <v>207</v>
      </c>
      <c r="B76" s="4"/>
      <c r="C76" s="4"/>
      <c r="D76" s="4"/>
      <c r="E76" s="4"/>
      <c r="F76" s="4">
        <f>F72+F71</f>
        <v>1001.4199999999994</v>
      </c>
      <c r="G76" s="4">
        <f>G72+G71</f>
        <v>1740.8499999999995</v>
      </c>
      <c r="H76" s="4">
        <f>H72+H71</f>
        <v>2282.9199999999992</v>
      </c>
      <c r="I76" s="4">
        <f>I72+I71</f>
        <v>3057.1699999999992</v>
      </c>
      <c r="J76" s="12">
        <f>I76/H76-1</f>
        <v>0.33914898463371479</v>
      </c>
      <c r="K76" s="44"/>
      <c r="L76" s="17"/>
      <c r="N76" s="4"/>
      <c r="O76" s="4"/>
      <c r="P76" s="4"/>
      <c r="Q76" s="4">
        <f t="shared" ref="Q76:W76" si="123">Q72+Q71</f>
        <v>312.85000000000002</v>
      </c>
      <c r="R76" s="4">
        <f t="shared" si="123"/>
        <v>351.06000000000006</v>
      </c>
      <c r="S76" s="4">
        <f t="shared" si="123"/>
        <v>430.97</v>
      </c>
      <c r="T76" s="4">
        <f t="shared" si="123"/>
        <v>459.36999999999989</v>
      </c>
      <c r="U76" s="4">
        <f t="shared" si="123"/>
        <v>481.75</v>
      </c>
      <c r="V76" s="4">
        <f t="shared" si="123"/>
        <v>512.46999999999991</v>
      </c>
      <c r="W76" s="4">
        <f t="shared" si="123"/>
        <v>542.73999999999978</v>
      </c>
      <c r="X76" s="4">
        <f t="shared" ref="X76:Y76" si="124">X72+X71</f>
        <v>587.4299999999995</v>
      </c>
      <c r="Y76" s="4">
        <f t="shared" si="124"/>
        <v>640.27999999999952</v>
      </c>
      <c r="Z76" s="4">
        <f t="shared" ref="Z76:AA76" si="125">Z72+Z71</f>
        <v>691.22</v>
      </c>
      <c r="AA76" s="4">
        <f t="shared" si="125"/>
        <v>743.08000000000254</v>
      </c>
      <c r="AB76" s="4">
        <f t="shared" ref="AB76:AC76" si="126">AB72+AB71</f>
        <v>788.20999999999788</v>
      </c>
      <c r="AC76" s="4">
        <f t="shared" si="126"/>
        <v>834.65999999999951</v>
      </c>
      <c r="AD76" s="71">
        <f>IFERROR(AC76/Y76-1,"")</f>
        <v>0.30358593115511989</v>
      </c>
      <c r="AE76" s="71">
        <f>IFERROR(AC76/AB76-1,"")</f>
        <v>5.8930995546874199E-2</v>
      </c>
      <c r="AF76" s="71"/>
      <c r="AG76" s="1"/>
    </row>
    <row r="77" spans="1:34" s="2" customFormat="1" x14ac:dyDescent="0.35">
      <c r="B77" s="4"/>
      <c r="C77" s="4"/>
      <c r="D77" s="4"/>
      <c r="E77" s="4"/>
      <c r="F77" s="4"/>
      <c r="G77" s="4"/>
      <c r="H77" s="4"/>
      <c r="I77" s="4"/>
      <c r="J77" s="4"/>
      <c r="K77" s="44"/>
      <c r="L77" s="17"/>
      <c r="N77" s="4"/>
      <c r="O77" s="4"/>
      <c r="P77" s="34"/>
      <c r="Q77" s="4"/>
      <c r="R77" s="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70"/>
      <c r="AE77" s="70"/>
      <c r="AF77" s="70"/>
    </row>
    <row r="78" spans="1:34" s="2" customFormat="1" x14ac:dyDescent="0.35">
      <c r="B78" s="4"/>
      <c r="C78" s="4"/>
      <c r="D78" s="4"/>
      <c r="E78" s="4"/>
      <c r="F78" s="12"/>
      <c r="G78" s="12"/>
      <c r="H78" s="12"/>
      <c r="I78" s="12"/>
      <c r="J78" s="12"/>
      <c r="K78" s="93"/>
      <c r="L78" s="17"/>
      <c r="M78" s="94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70"/>
      <c r="AE78" s="70"/>
      <c r="AF78" s="70"/>
    </row>
    <row r="79" spans="1:34" s="2" customFormat="1" x14ac:dyDescent="0.35">
      <c r="A79" s="2" t="s">
        <v>222</v>
      </c>
      <c r="B79" s="24" t="str">
        <f>A298</f>
        <v>Reclassification Items included under line items as below</v>
      </c>
      <c r="C79" s="24"/>
      <c r="D79" s="24"/>
      <c r="E79" s="24"/>
      <c r="F79" s="78"/>
      <c r="G79" s="78"/>
      <c r="H79" s="78"/>
      <c r="I79" s="78"/>
      <c r="J79" s="24"/>
      <c r="N79" s="24"/>
      <c r="O79" s="24"/>
      <c r="P79" s="43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0"/>
      <c r="AE79" s="70"/>
      <c r="AF79" s="70"/>
    </row>
    <row r="80" spans="1:34" s="2" customFormat="1" x14ac:dyDescent="0.35">
      <c r="A80" s="1" t="s">
        <v>195</v>
      </c>
      <c r="B80" s="26">
        <v>7.47</v>
      </c>
      <c r="C80" s="26">
        <v>14.45</v>
      </c>
      <c r="D80" s="26">
        <v>33.380000000000003</v>
      </c>
      <c r="E80" s="26">
        <v>38.4</v>
      </c>
      <c r="F80" s="26">
        <v>16.739999999999998</v>
      </c>
      <c r="G80" s="26">
        <v>13.18</v>
      </c>
      <c r="H80" s="26">
        <f>SUM(V80:Y80)</f>
        <v>104.08000000000001</v>
      </c>
      <c r="I80" s="26">
        <f>SUM(Z80:AC80)</f>
        <v>99.33</v>
      </c>
      <c r="J80" s="38"/>
      <c r="K80" s="1"/>
      <c r="L80" s="1"/>
      <c r="M80" s="1"/>
      <c r="N80" s="35">
        <v>1.25</v>
      </c>
      <c r="O80" s="35">
        <v>7.71</v>
      </c>
      <c r="P80" s="35">
        <v>0.05</v>
      </c>
      <c r="Q80" s="35">
        <v>7.73</v>
      </c>
      <c r="R80" s="35">
        <v>2.2000000000000002</v>
      </c>
      <c r="S80" s="35">
        <v>2.36</v>
      </c>
      <c r="T80" s="35">
        <v>-7.0000000000000007E-2</v>
      </c>
      <c r="U80" s="35">
        <v>8.69</v>
      </c>
      <c r="V80" s="35">
        <v>15.43</v>
      </c>
      <c r="W80" s="35">
        <v>23.270000000000003</v>
      </c>
      <c r="X80" s="35">
        <v>28.89</v>
      </c>
      <c r="Y80" s="35">
        <v>36.490000000000009</v>
      </c>
      <c r="Z80" s="35">
        <v>22.729999999999997</v>
      </c>
      <c r="AA80" s="35">
        <v>23.060000000000002</v>
      </c>
      <c r="AB80" s="35">
        <v>24.470000000000006</v>
      </c>
      <c r="AC80" s="35">
        <v>29.069999999999993</v>
      </c>
      <c r="AD80" s="69">
        <f t="shared" ref="AD80:AD86" si="127">IFERROR(AC80/Y80-1,"")</f>
        <v>-0.20334338174842459</v>
      </c>
      <c r="AE80" s="69">
        <f t="shared" ref="AE80:AE86" si="128">IFERROR(AC80/AB80-1,"")</f>
        <v>0.18798528810788673</v>
      </c>
      <c r="AF80" s="76"/>
      <c r="AG80" s="1"/>
      <c r="AH80" s="110"/>
    </row>
    <row r="81" spans="1:36" s="2" customFormat="1" x14ac:dyDescent="0.35">
      <c r="A81" s="1" t="s">
        <v>196</v>
      </c>
      <c r="B81" s="26">
        <v>2.4500000000000002</v>
      </c>
      <c r="C81" s="26">
        <v>6.89</v>
      </c>
      <c r="D81" s="26">
        <v>31.37</v>
      </c>
      <c r="E81" s="26">
        <v>28.57</v>
      </c>
      <c r="F81" s="26">
        <v>13.91</v>
      </c>
      <c r="G81" s="26">
        <v>11.51</v>
      </c>
      <c r="H81" s="26">
        <f t="shared" ref="H81:H85" si="129">SUM(V81:Y81)</f>
        <v>24.349999999999998</v>
      </c>
      <c r="I81" s="26">
        <f t="shared" ref="I81:I85" si="130">SUM(Z81:AC81)</f>
        <v>45.849999999999994</v>
      </c>
      <c r="J81" s="38"/>
      <c r="K81" s="1"/>
      <c r="L81" s="1"/>
      <c r="M81" s="1"/>
      <c r="N81" s="35">
        <v>0.82</v>
      </c>
      <c r="O81" s="35">
        <v>1.84</v>
      </c>
      <c r="P81" s="35">
        <v>3.22</v>
      </c>
      <c r="Q81" s="35">
        <v>8.0299999999999994</v>
      </c>
      <c r="R81" s="35">
        <v>1.9</v>
      </c>
      <c r="S81" s="35">
        <v>1.96</v>
      </c>
      <c r="T81" s="35">
        <v>2.37</v>
      </c>
      <c r="U81" s="35">
        <v>5.28</v>
      </c>
      <c r="V81" s="35">
        <v>11.54</v>
      </c>
      <c r="W81" s="35">
        <v>3.9700000000000024</v>
      </c>
      <c r="X81" s="35">
        <v>4.41</v>
      </c>
      <c r="Y81" s="35">
        <v>4.4299999999999962</v>
      </c>
      <c r="Z81" s="35">
        <v>16.79</v>
      </c>
      <c r="AA81" s="35">
        <v>11.590000000000003</v>
      </c>
      <c r="AB81" s="35">
        <v>6.53</v>
      </c>
      <c r="AC81" s="35">
        <v>10.939999999999991</v>
      </c>
      <c r="AD81" s="69">
        <f t="shared" si="127"/>
        <v>1.4695259593679459</v>
      </c>
      <c r="AE81" s="69">
        <f t="shared" si="128"/>
        <v>0.67534456355283168</v>
      </c>
      <c r="AF81" s="76"/>
      <c r="AG81" s="1"/>
      <c r="AH81" s="110"/>
    </row>
    <row r="82" spans="1:36" s="2" customFormat="1" x14ac:dyDescent="0.35">
      <c r="A82" s="1" t="s">
        <v>197</v>
      </c>
      <c r="B82" s="26">
        <v>15.56</v>
      </c>
      <c r="C82" s="26">
        <v>12.28</v>
      </c>
      <c r="D82" s="26">
        <v>21.64</v>
      </c>
      <c r="E82" s="26">
        <v>70.17</v>
      </c>
      <c r="F82" s="26">
        <v>124.47</v>
      </c>
      <c r="G82" s="26">
        <v>127.78</v>
      </c>
      <c r="H82" s="26">
        <f t="shared" si="129"/>
        <v>162.34</v>
      </c>
      <c r="I82" s="26">
        <f t="shared" si="130"/>
        <v>343.3</v>
      </c>
      <c r="J82" s="38"/>
      <c r="K82" s="1"/>
      <c r="L82" s="1"/>
      <c r="M82" s="1"/>
      <c r="N82" s="35">
        <v>21.2</v>
      </c>
      <c r="O82" s="35">
        <f>51.23-N82</f>
        <v>30.029999999999998</v>
      </c>
      <c r="P82" s="35">
        <v>30.94</v>
      </c>
      <c r="Q82" s="35">
        <v>42.3</v>
      </c>
      <c r="R82" s="35">
        <v>46.52</v>
      </c>
      <c r="S82" s="35">
        <f>77.79-R82</f>
        <v>31.270000000000003</v>
      </c>
      <c r="T82" s="35">
        <v>28.14</v>
      </c>
      <c r="U82" s="35">
        <v>21.85</v>
      </c>
      <c r="V82" s="35">
        <v>26.39</v>
      </c>
      <c r="W82" s="35">
        <v>19.189999999999998</v>
      </c>
      <c r="X82" s="35">
        <v>21.680000000000007</v>
      </c>
      <c r="Y82" s="35">
        <v>95.08</v>
      </c>
      <c r="Z82" s="35">
        <v>74.83</v>
      </c>
      <c r="AA82" s="35">
        <v>85.060000000000016</v>
      </c>
      <c r="AB82" s="35">
        <v>80.949999999999974</v>
      </c>
      <c r="AC82" s="35">
        <v>102.46000000000004</v>
      </c>
      <c r="AD82" s="69">
        <f t="shared" si="127"/>
        <v>7.761884728649604E-2</v>
      </c>
      <c r="AE82" s="69">
        <f t="shared" si="128"/>
        <v>0.2657195799876475</v>
      </c>
      <c r="AF82" s="76"/>
      <c r="AG82" s="1"/>
      <c r="AH82" s="110"/>
    </row>
    <row r="83" spans="1:36" s="2" customFormat="1" x14ac:dyDescent="0.35">
      <c r="A83" s="1" t="s">
        <v>246</v>
      </c>
      <c r="B83" s="26">
        <v>0</v>
      </c>
      <c r="C83" s="26">
        <v>4.75</v>
      </c>
      <c r="D83" s="26">
        <v>36.909999999999997</v>
      </c>
      <c r="E83" s="26">
        <v>121.69</v>
      </c>
      <c r="F83" s="26">
        <v>120</v>
      </c>
      <c r="G83" s="26">
        <v>136.72</v>
      </c>
      <c r="H83" s="26">
        <f t="shared" si="129"/>
        <v>178.81</v>
      </c>
      <c r="I83" s="26">
        <f t="shared" si="130"/>
        <v>321.3</v>
      </c>
      <c r="J83" s="38"/>
      <c r="K83" s="1"/>
      <c r="L83" s="1"/>
      <c r="M83" s="1"/>
      <c r="N83" s="35">
        <v>27.85</v>
      </c>
      <c r="O83" s="35">
        <f>60.27-N83</f>
        <v>32.42</v>
      </c>
      <c r="P83" s="35">
        <f>83.02-60.27</f>
        <v>22.749999999999993</v>
      </c>
      <c r="Q83" s="35">
        <v>36.979999999999997</v>
      </c>
      <c r="R83" s="35">
        <v>38.69</v>
      </c>
      <c r="S83" s="35">
        <f>84.57-R83</f>
        <v>45.879999999999995</v>
      </c>
      <c r="T83" s="35">
        <f>117.13-84.57</f>
        <v>32.56</v>
      </c>
      <c r="U83" s="35">
        <f>G83-SUM(R83:T83)</f>
        <v>19.590000000000003</v>
      </c>
      <c r="V83" s="35">
        <v>28.55</v>
      </c>
      <c r="W83" s="35">
        <v>59.19</v>
      </c>
      <c r="X83" s="35">
        <v>65.73</v>
      </c>
      <c r="Y83" s="35">
        <v>25.340000000000003</v>
      </c>
      <c r="Z83" s="35">
        <v>71.81</v>
      </c>
      <c r="AA83" s="35">
        <v>56.25</v>
      </c>
      <c r="AB83" s="35">
        <v>80.14</v>
      </c>
      <c r="AC83" s="35">
        <v>113.10000000000002</v>
      </c>
      <c r="AD83" s="69">
        <f t="shared" si="127"/>
        <v>3.4632991318074193</v>
      </c>
      <c r="AE83" s="69">
        <f t="shared" si="128"/>
        <v>0.41128025954579517</v>
      </c>
      <c r="AF83" s="76"/>
      <c r="AG83" s="1"/>
      <c r="AH83" s="110"/>
    </row>
    <row r="84" spans="1:36" s="2" customFormat="1" x14ac:dyDescent="0.35">
      <c r="A84" s="1" t="s">
        <v>199</v>
      </c>
      <c r="B84" s="35">
        <v>12.59</v>
      </c>
      <c r="C84" s="35">
        <v>12.83</v>
      </c>
      <c r="D84" s="35">
        <v>9.49</v>
      </c>
      <c r="E84" s="26">
        <v>53.24</v>
      </c>
      <c r="F84" s="26">
        <v>115.4</v>
      </c>
      <c r="G84" s="26">
        <v>218.73</v>
      </c>
      <c r="H84" s="26">
        <f t="shared" si="129"/>
        <v>234.93000000000021</v>
      </c>
      <c r="I84" s="26">
        <f t="shared" si="130"/>
        <v>237.46</v>
      </c>
      <c r="J84" s="38"/>
      <c r="K84" s="1"/>
      <c r="L84" s="1"/>
      <c r="M84" s="1"/>
      <c r="N84" s="35">
        <v>16.899999999999977</v>
      </c>
      <c r="O84" s="35">
        <v>38.5</v>
      </c>
      <c r="P84" s="35">
        <v>23.56</v>
      </c>
      <c r="Q84" s="35">
        <v>36.44</v>
      </c>
      <c r="R84" s="35">
        <v>43.59</v>
      </c>
      <c r="S84" s="35">
        <v>54.6</v>
      </c>
      <c r="T84" s="35">
        <v>63.61</v>
      </c>
      <c r="U84" s="35">
        <v>56.93</v>
      </c>
      <c r="V84" s="35">
        <v>62.65</v>
      </c>
      <c r="W84" s="35">
        <v>57.88</v>
      </c>
      <c r="X84" s="35">
        <v>56.57</v>
      </c>
      <c r="Y84" s="35">
        <v>57.830000000000211</v>
      </c>
      <c r="Z84" s="35">
        <v>72.429999999999993</v>
      </c>
      <c r="AA84" s="35">
        <v>58.19</v>
      </c>
      <c r="AB84" s="35">
        <v>55.780000000000015</v>
      </c>
      <c r="AC84" s="35">
        <v>51.059999999999974</v>
      </c>
      <c r="AD84" s="69">
        <f t="shared" si="127"/>
        <v>-0.11706726612485241</v>
      </c>
      <c r="AE84" s="69">
        <f t="shared" si="128"/>
        <v>-8.4618142703478672E-2</v>
      </c>
      <c r="AF84" s="76"/>
      <c r="AG84" s="1"/>
      <c r="AH84" s="114"/>
    </row>
    <row r="85" spans="1:36" s="2" customFormat="1" x14ac:dyDescent="0.35">
      <c r="A85" s="1" t="s">
        <v>228</v>
      </c>
      <c r="B85" s="26"/>
      <c r="C85" s="26">
        <v>16.7</v>
      </c>
      <c r="D85" s="26">
        <v>73.540000000000006</v>
      </c>
      <c r="E85" s="26">
        <v>88.48</v>
      </c>
      <c r="F85" s="26">
        <v>0.43</v>
      </c>
      <c r="G85" s="26">
        <v>0.31</v>
      </c>
      <c r="H85" s="26">
        <f t="shared" si="129"/>
        <v>46.13</v>
      </c>
      <c r="I85" s="26">
        <f t="shared" si="130"/>
        <v>190.99</v>
      </c>
      <c r="J85" s="38"/>
      <c r="K85" s="1"/>
      <c r="L85" s="1"/>
      <c r="M85" s="1"/>
      <c r="N85" s="35">
        <v>0.1</v>
      </c>
      <c r="O85" s="35">
        <v>0.06</v>
      </c>
      <c r="P85" s="35">
        <v>0.27</v>
      </c>
      <c r="Q85" s="97">
        <v>0</v>
      </c>
      <c r="R85" s="35">
        <v>0.1</v>
      </c>
      <c r="S85" s="35">
        <f>0.1-R85</f>
        <v>0</v>
      </c>
      <c r="T85" s="35">
        <v>0.16</v>
      </c>
      <c r="U85" s="35">
        <f>G85-SUM(R85:T85)</f>
        <v>4.9999999999999989E-2</v>
      </c>
      <c r="V85" s="35">
        <v>0</v>
      </c>
      <c r="W85" s="35">
        <v>0.09</v>
      </c>
      <c r="X85" s="35">
        <v>1.45</v>
      </c>
      <c r="Y85" s="35">
        <v>44.59</v>
      </c>
      <c r="Z85" s="35">
        <v>47.599999999999994</v>
      </c>
      <c r="AA85" s="35">
        <v>46.500000000000014</v>
      </c>
      <c r="AB85" s="35">
        <v>47.029999999999987</v>
      </c>
      <c r="AC85" s="35">
        <v>49.860000000000014</v>
      </c>
      <c r="AD85" s="69">
        <f t="shared" si="127"/>
        <v>0.11818793451446541</v>
      </c>
      <c r="AE85" s="69">
        <f t="shared" si="128"/>
        <v>6.0174356793536665E-2</v>
      </c>
      <c r="AF85" s="76"/>
      <c r="AG85" s="1"/>
      <c r="AH85" s="110"/>
    </row>
    <row r="86" spans="1:36" s="2" customFormat="1" x14ac:dyDescent="0.35">
      <c r="A86" s="2" t="s">
        <v>35</v>
      </c>
      <c r="B86" s="4">
        <f t="shared" ref="B86:H86" si="131">SUM(B80:B85)</f>
        <v>38.07</v>
      </c>
      <c r="C86" s="4">
        <f t="shared" si="131"/>
        <v>67.899999999999991</v>
      </c>
      <c r="D86" s="4">
        <f t="shared" si="131"/>
        <v>206.32999999999998</v>
      </c>
      <c r="E86" s="4">
        <f t="shared" si="131"/>
        <v>400.55</v>
      </c>
      <c r="F86" s="4">
        <f t="shared" si="131"/>
        <v>390.95</v>
      </c>
      <c r="G86" s="4">
        <f t="shared" si="131"/>
        <v>508.22999999999996</v>
      </c>
      <c r="H86" s="4">
        <f t="shared" si="131"/>
        <v>750.64000000000021</v>
      </c>
      <c r="I86" s="4">
        <f t="shared" ref="I86" si="132">SUM(I80:I85)</f>
        <v>1238.23</v>
      </c>
      <c r="J86" s="95"/>
      <c r="N86" s="4">
        <f t="shared" ref="N86:AB86" si="133">SUM(N80:N85)</f>
        <v>68.119999999999976</v>
      </c>
      <c r="O86" s="4">
        <f t="shared" si="133"/>
        <v>110.56</v>
      </c>
      <c r="P86" s="4">
        <f t="shared" si="133"/>
        <v>80.789999999999992</v>
      </c>
      <c r="Q86" s="4">
        <f t="shared" si="133"/>
        <v>131.47999999999999</v>
      </c>
      <c r="R86" s="4">
        <f t="shared" si="133"/>
        <v>133</v>
      </c>
      <c r="S86" s="4">
        <f t="shared" si="133"/>
        <v>136.07</v>
      </c>
      <c r="T86" s="4">
        <f t="shared" si="133"/>
        <v>126.77</v>
      </c>
      <c r="U86" s="4">
        <f t="shared" si="133"/>
        <v>112.39</v>
      </c>
      <c r="V86" s="4">
        <f t="shared" si="133"/>
        <v>144.56</v>
      </c>
      <c r="W86" s="4">
        <f t="shared" si="133"/>
        <v>163.59</v>
      </c>
      <c r="X86" s="4">
        <f t="shared" si="133"/>
        <v>178.73</v>
      </c>
      <c r="Y86" s="4">
        <f t="shared" si="133"/>
        <v>263.76000000000022</v>
      </c>
      <c r="Z86" s="4">
        <f t="shared" si="133"/>
        <v>306.18999999999994</v>
      </c>
      <c r="AA86" s="4">
        <f t="shared" si="133"/>
        <v>280.65000000000003</v>
      </c>
      <c r="AB86" s="4">
        <f t="shared" si="133"/>
        <v>294.89999999999998</v>
      </c>
      <c r="AC86" s="4">
        <f t="shared" ref="AC86" si="134">SUM(AC80:AC85)</f>
        <v>356.49</v>
      </c>
      <c r="AD86" s="71">
        <f t="shared" si="127"/>
        <v>0.3515696087352127</v>
      </c>
      <c r="AE86" s="71">
        <f t="shared" si="128"/>
        <v>0.20885045778229916</v>
      </c>
      <c r="AF86" s="76"/>
    </row>
    <row r="87" spans="1:36" x14ac:dyDescent="0.35">
      <c r="F87" s="7"/>
      <c r="G87" s="7"/>
      <c r="H87" s="39"/>
      <c r="I87" s="39"/>
      <c r="J87" s="7"/>
      <c r="N87" s="39"/>
      <c r="O87" s="39"/>
      <c r="Q87" s="39"/>
      <c r="R87" s="39"/>
    </row>
    <row r="88" spans="1:36" x14ac:dyDescent="0.35">
      <c r="N88" s="51"/>
      <c r="O88" s="51"/>
      <c r="P88" s="83"/>
      <c r="Q88" s="51"/>
      <c r="R88" s="51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</row>
    <row r="89" spans="1:36" s="8" customFormat="1" x14ac:dyDescent="0.35">
      <c r="A89" s="8" t="s">
        <v>81</v>
      </c>
      <c r="B89" s="37">
        <f t="shared" ref="B89:H89" si="135">B62/B58</f>
        <v>0.28609803771689396</v>
      </c>
      <c r="C89" s="37">
        <f t="shared" si="135"/>
        <v>0.31572517264241601</v>
      </c>
      <c r="D89" s="37">
        <f t="shared" si="135"/>
        <v>0.27134497313891032</v>
      </c>
      <c r="E89" s="37">
        <f t="shared" si="135"/>
        <v>0.24927622565080124</v>
      </c>
      <c r="F89" s="37">
        <f t="shared" si="135"/>
        <v>0.21747645458243814</v>
      </c>
      <c r="G89" s="37">
        <f t="shared" si="135"/>
        <v>0.2175067693356231</v>
      </c>
      <c r="H89" s="37">
        <f t="shared" si="135"/>
        <v>0.22071322451790984</v>
      </c>
      <c r="I89" s="37">
        <f t="shared" ref="I89" si="136">I62/I58</f>
        <v>0.20102287416399711</v>
      </c>
      <c r="J89" s="37"/>
      <c r="N89" s="37">
        <f t="shared" ref="N89:AB89" si="137">N62/N58</f>
        <v>0.17281200408281863</v>
      </c>
      <c r="O89" s="37">
        <f t="shared" si="137"/>
        <v>0.21237075502044941</v>
      </c>
      <c r="P89" s="37">
        <f t="shared" si="137"/>
        <v>0.25877936656178879</v>
      </c>
      <c r="Q89" s="37">
        <f t="shared" si="137"/>
        <v>0.23216388905247043</v>
      </c>
      <c r="R89" s="37">
        <f t="shared" si="137"/>
        <v>0.20050496501918302</v>
      </c>
      <c r="S89" s="37">
        <f t="shared" si="137"/>
        <v>0.22177129599846696</v>
      </c>
      <c r="T89" s="37">
        <f t="shared" si="137"/>
        <v>0.21181379528555611</v>
      </c>
      <c r="U89" s="37">
        <f t="shared" si="137"/>
        <v>0.23449252335251081</v>
      </c>
      <c r="V89" s="37">
        <f t="shared" si="137"/>
        <v>0.23011603531252767</v>
      </c>
      <c r="W89" s="37">
        <f t="shared" si="137"/>
        <v>0.2342298107788478</v>
      </c>
      <c r="X89" s="37">
        <f t="shared" si="137"/>
        <v>0.21656887643401354</v>
      </c>
      <c r="Y89" s="37">
        <f t="shared" si="137"/>
        <v>0.20644349619330493</v>
      </c>
      <c r="Z89" s="37">
        <f t="shared" si="137"/>
        <v>0.21399731339032435</v>
      </c>
      <c r="AA89" s="37">
        <f t="shared" si="137"/>
        <v>0.20435569337472687</v>
      </c>
      <c r="AB89" s="37">
        <f t="shared" si="137"/>
        <v>0.20386365901465076</v>
      </c>
      <c r="AC89" s="37">
        <f t="shared" ref="AC89" si="138">AC62/AC58</f>
        <v>0.18480740966869874</v>
      </c>
      <c r="AD89" s="64"/>
      <c r="AE89" s="64"/>
      <c r="AF89" s="64"/>
      <c r="AG89" s="1"/>
    </row>
    <row r="90" spans="1:36" s="8" customFormat="1" x14ac:dyDescent="0.35">
      <c r="A90" s="8" t="s">
        <v>82</v>
      </c>
      <c r="B90" s="37">
        <f t="shared" ref="B90:H90" si="139">B62/B61</f>
        <v>0.68421602423482719</v>
      </c>
      <c r="C90" s="37">
        <f t="shared" si="139"/>
        <v>0.60958490348934191</v>
      </c>
      <c r="D90" s="37">
        <f t="shared" si="139"/>
        <v>0.50321949350285033</v>
      </c>
      <c r="E90" s="37">
        <f t="shared" si="139"/>
        <v>0.45792989336928547</v>
      </c>
      <c r="F90" s="37">
        <f t="shared" si="139"/>
        <v>0.39027871023600685</v>
      </c>
      <c r="G90" s="37">
        <f t="shared" si="139"/>
        <v>0.34017790099924922</v>
      </c>
      <c r="H90" s="37">
        <f t="shared" si="139"/>
        <v>0.35666061396346455</v>
      </c>
      <c r="I90" s="37">
        <f t="shared" ref="I90" si="140">I62/I61</f>
        <v>0.35339360738367254</v>
      </c>
      <c r="J90" s="37"/>
      <c r="N90" s="37">
        <f t="shared" ref="N90:AB90" si="141">N62/N61</f>
        <v>0.28843403757911884</v>
      </c>
      <c r="O90" s="37">
        <f t="shared" si="141"/>
        <v>0.43904617138514151</v>
      </c>
      <c r="P90" s="37">
        <f t="shared" si="141"/>
        <v>0.49954491353357128</v>
      </c>
      <c r="Q90" s="37">
        <f t="shared" si="141"/>
        <v>0.38276414476079523</v>
      </c>
      <c r="R90" s="37">
        <f t="shared" si="141"/>
        <v>0.31907968574635237</v>
      </c>
      <c r="S90" s="37">
        <f t="shared" si="141"/>
        <v>0.35207518470230331</v>
      </c>
      <c r="T90" s="37">
        <f t="shared" si="141"/>
        <v>0.33041645244215945</v>
      </c>
      <c r="U90" s="37">
        <f t="shared" si="141"/>
        <v>0.35709686231657822</v>
      </c>
      <c r="V90" s="37">
        <f t="shared" si="141"/>
        <v>0.35790450124447792</v>
      </c>
      <c r="W90" s="37">
        <f t="shared" si="141"/>
        <v>0.37436923024994523</v>
      </c>
      <c r="X90" s="37">
        <f t="shared" si="141"/>
        <v>0.35260289597921501</v>
      </c>
      <c r="Y90" s="37">
        <f t="shared" si="141"/>
        <v>0.34424811298310898</v>
      </c>
      <c r="Z90" s="37">
        <f t="shared" si="141"/>
        <v>0.36264137652138745</v>
      </c>
      <c r="AA90" s="37">
        <f t="shared" si="141"/>
        <v>0.35230021209828399</v>
      </c>
      <c r="AB90" s="37">
        <f t="shared" si="141"/>
        <v>0.35862266455500208</v>
      </c>
      <c r="AC90" s="37">
        <f t="shared" ref="AC90" si="142">AC62/AC61</f>
        <v>0.34098867087468288</v>
      </c>
      <c r="AD90" s="99"/>
      <c r="AE90" s="64"/>
      <c r="AF90" s="64"/>
      <c r="AG90" s="112"/>
      <c r="AH90" s="113"/>
    </row>
    <row r="91" spans="1:36" x14ac:dyDescent="0.35">
      <c r="H91" s="11"/>
      <c r="I91" s="11"/>
      <c r="O91" s="7"/>
      <c r="U91" s="7"/>
      <c r="V91" s="7"/>
      <c r="W91" s="77"/>
      <c r="X91" s="77"/>
      <c r="Y91" s="77"/>
      <c r="Z91" s="77"/>
      <c r="AA91" s="77"/>
      <c r="AB91" s="77"/>
      <c r="AC91" s="77"/>
      <c r="AG91" s="123"/>
    </row>
    <row r="92" spans="1:36" s="5" customFormat="1" x14ac:dyDescent="0.35">
      <c r="A92" s="21" t="s">
        <v>164</v>
      </c>
      <c r="B92" s="22" t="str">
        <f t="shared" ref="B92:I92" si="143">B$1</f>
        <v>FY17</v>
      </c>
      <c r="C92" s="22" t="str">
        <f t="shared" si="143"/>
        <v>FY18</v>
      </c>
      <c r="D92" s="22" t="str">
        <f t="shared" si="143"/>
        <v>FY19</v>
      </c>
      <c r="E92" s="22" t="str">
        <f t="shared" si="143"/>
        <v>FY20</v>
      </c>
      <c r="F92" s="22" t="str">
        <f t="shared" si="143"/>
        <v>FY21</v>
      </c>
      <c r="G92" s="22" t="str">
        <f t="shared" si="143"/>
        <v>FY22</v>
      </c>
      <c r="H92" s="22" t="str">
        <f t="shared" si="143"/>
        <v>FY23</v>
      </c>
      <c r="I92" s="22" t="str">
        <f t="shared" si="143"/>
        <v>FY24</v>
      </c>
      <c r="J92" s="22" t="str">
        <f>J$1</f>
        <v>Yoy%</v>
      </c>
      <c r="N92" s="6" t="str">
        <f t="shared" ref="N92:AE92" si="144">N$1</f>
        <v>Q1FY21</v>
      </c>
      <c r="O92" s="6" t="str">
        <f t="shared" si="144"/>
        <v>Q2FY21</v>
      </c>
      <c r="P92" s="80" t="str">
        <f t="shared" si="144"/>
        <v>Q3FY21</v>
      </c>
      <c r="Q92" s="6" t="str">
        <f t="shared" si="144"/>
        <v>Q4FY21</v>
      </c>
      <c r="R92" s="6" t="str">
        <f t="shared" si="144"/>
        <v>Q1FY22</v>
      </c>
      <c r="S92" s="80" t="str">
        <f t="shared" si="144"/>
        <v>Q2FY22</v>
      </c>
      <c r="T92" s="80" t="str">
        <f t="shared" si="144"/>
        <v>Q3FY22</v>
      </c>
      <c r="U92" s="80" t="str">
        <f t="shared" si="144"/>
        <v>Q4FY22</v>
      </c>
      <c r="V92" s="80" t="str">
        <f t="shared" si="144"/>
        <v>Q1FY23</v>
      </c>
      <c r="W92" s="80" t="str">
        <f t="shared" si="144"/>
        <v>Q2FY23</v>
      </c>
      <c r="X92" s="80" t="str">
        <f t="shared" si="144"/>
        <v>Q3FY23</v>
      </c>
      <c r="Y92" s="80" t="str">
        <f t="shared" si="144"/>
        <v>Q4FY23</v>
      </c>
      <c r="Z92" s="80" t="str">
        <f t="shared" si="144"/>
        <v>Q1FY24</v>
      </c>
      <c r="AA92" s="80" t="str">
        <f t="shared" si="144"/>
        <v>Q2FY24</v>
      </c>
      <c r="AB92" s="80" t="str">
        <f t="shared" si="144"/>
        <v>Q3FY24</v>
      </c>
      <c r="AC92" s="80" t="str">
        <f t="shared" si="144"/>
        <v>Q4FY24</v>
      </c>
      <c r="AD92" s="6" t="str">
        <f t="shared" si="144"/>
        <v>y-o-y</v>
      </c>
      <c r="AE92" s="6" t="str">
        <f t="shared" si="144"/>
        <v>q-o-q</v>
      </c>
      <c r="AF92" s="6"/>
    </row>
    <row r="93" spans="1:36" s="2" customFormat="1" x14ac:dyDescent="0.35">
      <c r="A93" s="2" t="s">
        <v>165</v>
      </c>
      <c r="B93" s="4"/>
      <c r="C93" s="4"/>
      <c r="D93" s="4"/>
      <c r="E93" s="4"/>
      <c r="F93" s="4"/>
      <c r="G93" s="4"/>
      <c r="H93" s="4"/>
      <c r="I93" s="4"/>
      <c r="J93" s="4"/>
      <c r="N93" s="4"/>
      <c r="O93" s="24"/>
      <c r="P93" s="43"/>
      <c r="Q93" s="24"/>
      <c r="R93" s="24"/>
      <c r="S93" s="43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70"/>
      <c r="AE93" s="70"/>
      <c r="AF93" s="70"/>
    </row>
    <row r="94" spans="1:36" x14ac:dyDescent="0.35">
      <c r="A94" s="1" t="s">
        <v>166</v>
      </c>
      <c r="B94" s="35">
        <f>1159.8+661.72</f>
        <v>1821.52</v>
      </c>
      <c r="C94" s="35">
        <v>302.18</v>
      </c>
      <c r="D94" s="35">
        <v>1919.8299999999997</v>
      </c>
      <c r="E94" s="26">
        <v>2220.5500000000002</v>
      </c>
      <c r="F94" s="35">
        <v>6798.68</v>
      </c>
      <c r="G94" s="35">
        <v>6678.49</v>
      </c>
      <c r="H94" s="35">
        <f>Y94</f>
        <v>2984.1000000000004</v>
      </c>
      <c r="I94" s="35">
        <f>AC94</f>
        <v>8215.09</v>
      </c>
      <c r="J94" s="26"/>
      <c r="N94" s="35">
        <v>3046.01</v>
      </c>
      <c r="O94" s="35">
        <v>4208.6000000000004</v>
      </c>
      <c r="P94" s="35">
        <v>4635.3899999999994</v>
      </c>
      <c r="Q94" s="35">
        <f t="shared" ref="Q94:Q100" si="145">F94</f>
        <v>6798.68</v>
      </c>
      <c r="R94" s="35">
        <v>6409.96</v>
      </c>
      <c r="S94" s="35">
        <v>4895.13</v>
      </c>
      <c r="T94" s="35">
        <v>4100.13</v>
      </c>
      <c r="U94" s="35">
        <f t="shared" ref="U94:U100" si="146">G94</f>
        <v>6678.49</v>
      </c>
      <c r="V94" s="35">
        <v>3004.28</v>
      </c>
      <c r="W94" s="35">
        <v>3218.35</v>
      </c>
      <c r="X94" s="35">
        <v>3675.5800000000008</v>
      </c>
      <c r="Y94" s="35">
        <v>2984.1000000000004</v>
      </c>
      <c r="Z94" s="35">
        <v>5437.19</v>
      </c>
      <c r="AA94" s="35">
        <v>4885.0099999999993</v>
      </c>
      <c r="AB94" s="35">
        <v>5528.68</v>
      </c>
      <c r="AC94" s="35">
        <v>8215.09</v>
      </c>
      <c r="AD94" s="69">
        <f t="shared" ref="AD94:AD101" si="147">IFERROR(AC94/Y94-1,"")</f>
        <v>1.7529539894775641</v>
      </c>
      <c r="AE94" s="69">
        <f t="shared" ref="AE94:AE101" si="148">IFERROR(AC94/AB94-1,"")</f>
        <v>0.4859044111795221</v>
      </c>
      <c r="AF94" s="75"/>
      <c r="AI94" s="111"/>
      <c r="AJ94" s="111"/>
    </row>
    <row r="95" spans="1:36" x14ac:dyDescent="0.35">
      <c r="A95" s="1" t="s">
        <v>167</v>
      </c>
      <c r="B95" s="35">
        <v>7893.12</v>
      </c>
      <c r="C95" s="35">
        <v>13087.35</v>
      </c>
      <c r="D95" s="35">
        <v>21347.050000000007</v>
      </c>
      <c r="E95" s="26">
        <v>30139.14</v>
      </c>
      <c r="F95" s="35">
        <v>33264.999999999985</v>
      </c>
      <c r="G95" s="35">
        <v>43048.66</v>
      </c>
      <c r="H95" s="35">
        <f t="shared" ref="H95:H100" si="149">Y95</f>
        <v>59957.000000000007</v>
      </c>
      <c r="I95" s="35">
        <f t="shared" ref="I95:I100" si="150">AC95</f>
        <v>81434.38</v>
      </c>
      <c r="J95" s="26"/>
      <c r="N95" s="35">
        <v>28693.709999999995</v>
      </c>
      <c r="O95" s="35">
        <v>29721.639999999996</v>
      </c>
      <c r="P95" s="35">
        <v>32067.32</v>
      </c>
      <c r="Q95" s="35">
        <f t="shared" si="145"/>
        <v>33264.999999999985</v>
      </c>
      <c r="R95" s="35">
        <v>33951.360000000015</v>
      </c>
      <c r="S95" s="35">
        <v>36371.93</v>
      </c>
      <c r="T95" s="35">
        <v>39539.85</v>
      </c>
      <c r="U95" s="35">
        <f t="shared" si="146"/>
        <v>43048.66</v>
      </c>
      <c r="V95" s="35">
        <v>47222.33</v>
      </c>
      <c r="W95" s="35">
        <v>51454.409999999996</v>
      </c>
      <c r="X95" s="35">
        <v>55954.870000000017</v>
      </c>
      <c r="Y95" s="35">
        <v>59957.000000000007</v>
      </c>
      <c r="Z95" s="35">
        <v>65194.299999999988</v>
      </c>
      <c r="AA95" s="35">
        <v>70253.330000000016</v>
      </c>
      <c r="AB95" s="35">
        <v>75478.459999999977</v>
      </c>
      <c r="AC95" s="35">
        <v>81434.38</v>
      </c>
      <c r="AD95" s="69">
        <f t="shared" si="147"/>
        <v>0.35821305268775938</v>
      </c>
      <c r="AE95" s="69">
        <f t="shared" si="148"/>
        <v>7.8908870159778433E-2</v>
      </c>
      <c r="AF95" s="75"/>
      <c r="AI95" s="111"/>
      <c r="AJ95" s="111"/>
    </row>
    <row r="96" spans="1:36" x14ac:dyDescent="0.35">
      <c r="A96" s="1" t="s">
        <v>168</v>
      </c>
      <c r="B96" s="35">
        <v>0</v>
      </c>
      <c r="C96" s="35">
        <v>0</v>
      </c>
      <c r="D96" s="35">
        <v>1029.17</v>
      </c>
      <c r="E96" s="26">
        <v>1455.58</v>
      </c>
      <c r="F96" s="35">
        <v>3750.15</v>
      </c>
      <c r="G96" s="35">
        <v>0</v>
      </c>
      <c r="H96" s="35">
        <f t="shared" si="149"/>
        <v>2807.99</v>
      </c>
      <c r="I96" s="35">
        <f t="shared" si="150"/>
        <v>3788.13</v>
      </c>
      <c r="J96" s="26"/>
      <c r="N96" s="35">
        <v>4064.7699999999995</v>
      </c>
      <c r="O96" s="35">
        <v>2192.1199999999994</v>
      </c>
      <c r="P96" s="35">
        <v>2439.3399999999992</v>
      </c>
      <c r="Q96" s="35">
        <f t="shared" si="145"/>
        <v>3750.15</v>
      </c>
      <c r="R96" s="35">
        <v>4149.4900000000007</v>
      </c>
      <c r="S96" s="35">
        <v>3690.83</v>
      </c>
      <c r="T96" s="35">
        <v>1214.19</v>
      </c>
      <c r="U96" s="35">
        <f t="shared" si="146"/>
        <v>0</v>
      </c>
      <c r="V96" s="35">
        <v>3266.82</v>
      </c>
      <c r="W96" s="35">
        <v>3396.8100000000004</v>
      </c>
      <c r="X96" s="35">
        <v>4338.42</v>
      </c>
      <c r="Y96" s="35">
        <v>2807.99</v>
      </c>
      <c r="Z96" s="35">
        <v>3656.8</v>
      </c>
      <c r="AA96" s="35">
        <v>3556.9300000000003</v>
      </c>
      <c r="AB96" s="35">
        <v>7140.9299999999994</v>
      </c>
      <c r="AC96" s="35">
        <v>3788.13</v>
      </c>
      <c r="AD96" s="69">
        <f t="shared" si="147"/>
        <v>0.34905394962232794</v>
      </c>
      <c r="AE96" s="69">
        <f t="shared" si="148"/>
        <v>-0.46951867613882214</v>
      </c>
      <c r="AF96" s="75"/>
      <c r="AI96" s="111"/>
      <c r="AJ96" s="111"/>
    </row>
    <row r="97" spans="1:36" x14ac:dyDescent="0.35">
      <c r="A97" s="1" t="s">
        <v>169</v>
      </c>
      <c r="B97" s="35">
        <v>59.63</v>
      </c>
      <c r="C97" s="35">
        <v>49.500000000000007</v>
      </c>
      <c r="D97" s="35">
        <v>267.05</v>
      </c>
      <c r="E97" s="26">
        <f>663.27+0.5</f>
        <v>663.77</v>
      </c>
      <c r="F97" s="35">
        <f>1011.65+9.47</f>
        <v>1021.12</v>
      </c>
      <c r="G97" s="35">
        <v>1164.82</v>
      </c>
      <c r="H97" s="35">
        <f t="shared" si="149"/>
        <v>1240.9700000000003</v>
      </c>
      <c r="I97" s="35">
        <f t="shared" si="150"/>
        <v>1440.7000000000003</v>
      </c>
      <c r="J97" s="26"/>
      <c r="N97" s="35">
        <f>919.45+0.62</f>
        <v>920.07</v>
      </c>
      <c r="O97" s="35">
        <f>850.79+0.45</f>
        <v>851.24</v>
      </c>
      <c r="P97" s="35">
        <f>711.77+0.27</f>
        <v>712.04</v>
      </c>
      <c r="Q97" s="35">
        <f t="shared" si="145"/>
        <v>1021.12</v>
      </c>
      <c r="R97" s="35">
        <f>1004.86+8.5</f>
        <v>1013.36</v>
      </c>
      <c r="S97" s="35">
        <f>1088.84+9.11</f>
        <v>1097.9499999999998</v>
      </c>
      <c r="T97" s="35">
        <f>1123.57+11.56</f>
        <v>1135.1299999999999</v>
      </c>
      <c r="U97" s="35">
        <f t="shared" si="146"/>
        <v>1164.82</v>
      </c>
      <c r="V97" s="35">
        <f>1167.63+15.04</f>
        <v>1182.67</v>
      </c>
      <c r="W97" s="35">
        <f>1177.44+18.49</f>
        <v>1195.93</v>
      </c>
      <c r="X97" s="35">
        <f>1158.19+22.14</f>
        <v>1180.3300000000002</v>
      </c>
      <c r="Y97" s="35">
        <v>1240.9700000000003</v>
      </c>
      <c r="Z97" s="35">
        <v>1325.1599999999999</v>
      </c>
      <c r="AA97" s="35">
        <v>1294.1400000000003</v>
      </c>
      <c r="AB97" s="35">
        <v>1445.07</v>
      </c>
      <c r="AC97" s="35">
        <v>1440.7000000000003</v>
      </c>
      <c r="AD97" s="69">
        <f t="shared" si="147"/>
        <v>0.16094667880770697</v>
      </c>
      <c r="AE97" s="69">
        <f t="shared" si="148"/>
        <v>-3.0240749583062554E-3</v>
      </c>
      <c r="AF97" s="75"/>
      <c r="AI97" s="111"/>
      <c r="AJ97" s="111"/>
    </row>
    <row r="98" spans="1:36" ht="29" x14ac:dyDescent="0.35">
      <c r="A98" s="50" t="s">
        <v>194</v>
      </c>
      <c r="B98" s="35">
        <v>64.27</v>
      </c>
      <c r="C98" s="35">
        <v>97.61999999999999</v>
      </c>
      <c r="D98" s="35">
        <v>167.58999999999997</v>
      </c>
      <c r="E98" s="26">
        <v>204.84</v>
      </c>
      <c r="F98" s="35">
        <v>164.01</v>
      </c>
      <c r="G98" s="35">
        <v>199.97</v>
      </c>
      <c r="H98" s="35">
        <f t="shared" si="149"/>
        <v>253.47</v>
      </c>
      <c r="I98" s="35">
        <f t="shared" si="150"/>
        <v>298.15999999999997</v>
      </c>
      <c r="J98" s="26"/>
      <c r="N98" s="35">
        <v>184.64</v>
      </c>
      <c r="O98" s="35">
        <v>169.55</v>
      </c>
      <c r="P98" s="35">
        <v>160.18</v>
      </c>
      <c r="Q98" s="35">
        <f t="shared" si="145"/>
        <v>164.01</v>
      </c>
      <c r="R98" s="35">
        <v>177.1</v>
      </c>
      <c r="S98" s="35">
        <v>179.42000000000002</v>
      </c>
      <c r="T98" s="35">
        <v>192.68</v>
      </c>
      <c r="U98" s="35">
        <f t="shared" si="146"/>
        <v>199.97</v>
      </c>
      <c r="V98" s="35">
        <v>202.49</v>
      </c>
      <c r="W98" s="35">
        <v>222.76</v>
      </c>
      <c r="X98" s="35">
        <v>223.11</v>
      </c>
      <c r="Y98" s="35">
        <v>253.47</v>
      </c>
      <c r="Z98" s="35">
        <v>257.02</v>
      </c>
      <c r="AA98" s="35">
        <v>256.23</v>
      </c>
      <c r="AB98" s="35">
        <v>264.49</v>
      </c>
      <c r="AC98" s="35">
        <v>298.15999999999997</v>
      </c>
      <c r="AD98" s="69">
        <f t="shared" si="147"/>
        <v>0.17631277863257977</v>
      </c>
      <c r="AE98" s="69">
        <f t="shared" si="148"/>
        <v>0.12730159930432139</v>
      </c>
      <c r="AF98" s="75"/>
      <c r="AI98" s="111"/>
      <c r="AJ98" s="111"/>
    </row>
    <row r="99" spans="1:36" x14ac:dyDescent="0.35">
      <c r="A99" s="50" t="s">
        <v>232</v>
      </c>
      <c r="B99" s="35">
        <v>26.279999999999998</v>
      </c>
      <c r="C99" s="35">
        <v>63.81</v>
      </c>
      <c r="D99" s="35">
        <v>14.22</v>
      </c>
      <c r="E99" s="35">
        <v>0</v>
      </c>
      <c r="F99" s="35">
        <v>0</v>
      </c>
      <c r="G99" s="35">
        <v>0</v>
      </c>
      <c r="H99" s="35">
        <f t="shared" si="149"/>
        <v>28.319999999999993</v>
      </c>
      <c r="I99" s="35">
        <f t="shared" si="150"/>
        <v>31.250000000000028</v>
      </c>
      <c r="J99" s="26"/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f t="shared" si="146"/>
        <v>0</v>
      </c>
      <c r="V99" s="35">
        <v>0</v>
      </c>
      <c r="W99" s="35">
        <v>8.52</v>
      </c>
      <c r="X99" s="35">
        <v>27.099999999999994</v>
      </c>
      <c r="Y99" s="35">
        <v>28.319999999999993</v>
      </c>
      <c r="Z99" s="35">
        <v>22.22</v>
      </c>
      <c r="AA99" s="35">
        <v>34.460000000000008</v>
      </c>
      <c r="AB99" s="35">
        <v>34.109999999999985</v>
      </c>
      <c r="AC99" s="35">
        <v>31.250000000000028</v>
      </c>
      <c r="AD99" s="69">
        <f t="shared" si="147"/>
        <v>0.1034604519774025</v>
      </c>
      <c r="AE99" s="69">
        <f t="shared" si="148"/>
        <v>-8.3846379360890011E-2</v>
      </c>
      <c r="AF99" s="75"/>
      <c r="AI99" s="111"/>
      <c r="AJ99" s="111"/>
    </row>
    <row r="100" spans="1:36" x14ac:dyDescent="0.35">
      <c r="A100" s="1" t="s">
        <v>170</v>
      </c>
      <c r="B100" s="35">
        <f>26.28+2.26+22.5-B99</f>
        <v>24.76</v>
      </c>
      <c r="C100" s="35">
        <f>112.77-C99</f>
        <v>48.959999999999994</v>
      </c>
      <c r="D100" s="35">
        <v>70.349999999999994</v>
      </c>
      <c r="E100" s="26">
        <f>118.71-0.5</f>
        <v>118.21</v>
      </c>
      <c r="F100" s="35">
        <f>112.06-9.47</f>
        <v>102.59</v>
      </c>
      <c r="G100" s="35">
        <v>86.21</v>
      </c>
      <c r="H100" s="35">
        <f t="shared" si="149"/>
        <v>117.76000000000002</v>
      </c>
      <c r="I100" s="35">
        <f t="shared" si="150"/>
        <v>131.85</v>
      </c>
      <c r="J100" s="26"/>
      <c r="N100" s="35">
        <f>79.35-0.62</f>
        <v>78.72999999999999</v>
      </c>
      <c r="O100" s="35">
        <f>81.07-0.45</f>
        <v>80.61999999999999</v>
      </c>
      <c r="P100" s="35">
        <f>70.19-0.27</f>
        <v>69.92</v>
      </c>
      <c r="Q100" s="35">
        <f t="shared" si="145"/>
        <v>102.59</v>
      </c>
      <c r="R100" s="35">
        <f>87.51-8.5</f>
        <v>79.010000000000005</v>
      </c>
      <c r="S100" s="35">
        <f>98.46-9.11</f>
        <v>89.35</v>
      </c>
      <c r="T100" s="35">
        <f>139.63-11.56</f>
        <v>128.07</v>
      </c>
      <c r="U100" s="35">
        <f t="shared" si="146"/>
        <v>86.21</v>
      </c>
      <c r="V100" s="35">
        <v>73.97</v>
      </c>
      <c r="W100" s="35">
        <v>66.42</v>
      </c>
      <c r="X100" s="35">
        <v>97.01</v>
      </c>
      <c r="Y100" s="35">
        <v>117.76000000000002</v>
      </c>
      <c r="Z100" s="35">
        <v>184.89000000000004</v>
      </c>
      <c r="AA100" s="35">
        <v>154.19999999999993</v>
      </c>
      <c r="AB100" s="35">
        <v>149.72999999999999</v>
      </c>
      <c r="AC100" s="35">
        <v>131.85</v>
      </c>
      <c r="AD100" s="69">
        <f t="shared" si="147"/>
        <v>0.11965013586956497</v>
      </c>
      <c r="AE100" s="69">
        <f t="shared" si="148"/>
        <v>-0.119414946904428</v>
      </c>
      <c r="AF100" s="75"/>
      <c r="AI100" s="111"/>
      <c r="AJ100" s="111"/>
    </row>
    <row r="101" spans="1:36" s="2" customFormat="1" x14ac:dyDescent="0.35">
      <c r="A101" s="2" t="s">
        <v>35</v>
      </c>
      <c r="B101" s="24">
        <f t="shared" ref="B101:G101" si="151">SUM(B94:B100)</f>
        <v>9889.58</v>
      </c>
      <c r="C101" s="24">
        <f t="shared" si="151"/>
        <v>13649.42</v>
      </c>
      <c r="D101" s="24">
        <f t="shared" si="151"/>
        <v>24815.260000000002</v>
      </c>
      <c r="E101" s="4">
        <f t="shared" si="151"/>
        <v>34802.089999999989</v>
      </c>
      <c r="F101" s="24">
        <f t="shared" si="151"/>
        <v>45101.549999999988</v>
      </c>
      <c r="G101" s="24">
        <f t="shared" si="151"/>
        <v>51178.15</v>
      </c>
      <c r="H101" s="24">
        <f t="shared" ref="H101:I101" si="152">SUM(H94:H100)</f>
        <v>67389.610000000015</v>
      </c>
      <c r="I101" s="24">
        <f t="shared" si="152"/>
        <v>95339.560000000012</v>
      </c>
      <c r="J101" s="4"/>
      <c r="N101" s="24">
        <f t="shared" ref="N101:U101" si="153">SUM(N94:N100)</f>
        <v>36987.929999999993</v>
      </c>
      <c r="O101" s="24">
        <f t="shared" si="153"/>
        <v>37223.770000000004</v>
      </c>
      <c r="P101" s="24">
        <f t="shared" si="153"/>
        <v>40084.189999999995</v>
      </c>
      <c r="Q101" s="24">
        <f t="shared" si="153"/>
        <v>45101.549999999988</v>
      </c>
      <c r="R101" s="24">
        <f t="shared" si="153"/>
        <v>45780.280000000013</v>
      </c>
      <c r="S101" s="24">
        <f t="shared" si="153"/>
        <v>46324.609999999993</v>
      </c>
      <c r="T101" s="24">
        <f>SUM(T94:T100)</f>
        <v>46310.049999999996</v>
      </c>
      <c r="U101" s="24">
        <f t="shared" si="153"/>
        <v>51178.15</v>
      </c>
      <c r="V101" s="24">
        <f t="shared" ref="V101:W101" si="154">SUM(V94:V100)</f>
        <v>54952.56</v>
      </c>
      <c r="W101" s="24">
        <f t="shared" si="154"/>
        <v>59563.19999999999</v>
      </c>
      <c r="X101" s="24">
        <f t="shared" ref="X101:AC101" si="155">SUM(X94:X100)</f>
        <v>65496.42000000002</v>
      </c>
      <c r="Y101" s="24">
        <f t="shared" si="155"/>
        <v>67389.610000000015</v>
      </c>
      <c r="Z101" s="24">
        <f t="shared" si="155"/>
        <v>76077.58</v>
      </c>
      <c r="AA101" s="24">
        <f t="shared" si="155"/>
        <v>80434.300000000017</v>
      </c>
      <c r="AB101" s="24">
        <f t="shared" si="155"/>
        <v>90041.469999999987</v>
      </c>
      <c r="AC101" s="24">
        <f t="shared" si="155"/>
        <v>95339.560000000012</v>
      </c>
      <c r="AD101" s="71">
        <f t="shared" si="147"/>
        <v>0.41475162120688913</v>
      </c>
      <c r="AE101" s="71">
        <f t="shared" si="148"/>
        <v>5.8840554246837984E-2</v>
      </c>
      <c r="AF101" s="76"/>
      <c r="AG101" s="124"/>
      <c r="AH101" s="124"/>
    </row>
    <row r="102" spans="1:36" x14ac:dyDescent="0.35">
      <c r="B102" s="42"/>
      <c r="C102" s="42"/>
      <c r="D102" s="42"/>
      <c r="E102" s="39"/>
      <c r="F102" s="46"/>
      <c r="G102" s="46"/>
      <c r="H102" s="46"/>
      <c r="I102" s="46"/>
      <c r="J102" s="39"/>
      <c r="N102" s="46"/>
      <c r="O102" s="46"/>
      <c r="P102" s="46"/>
      <c r="Q102" s="46"/>
      <c r="R102" s="42"/>
      <c r="S102" s="42"/>
      <c r="T102" s="42"/>
      <c r="U102" s="46"/>
      <c r="V102" s="42"/>
      <c r="W102" s="42"/>
      <c r="X102" s="42"/>
      <c r="Y102" s="42"/>
      <c r="Z102" s="42"/>
      <c r="AA102" s="42"/>
      <c r="AB102" s="42"/>
      <c r="AC102" s="42"/>
      <c r="AD102" s="121"/>
    </row>
    <row r="103" spans="1:36" s="2" customFormat="1" x14ac:dyDescent="0.35">
      <c r="A103" s="2" t="s">
        <v>171</v>
      </c>
      <c r="B103" s="43"/>
      <c r="C103" s="43"/>
      <c r="D103" s="43"/>
      <c r="E103" s="34"/>
      <c r="F103" s="24"/>
      <c r="G103" s="24"/>
      <c r="H103" s="24"/>
      <c r="I103" s="24"/>
      <c r="J103" s="34"/>
      <c r="N103" s="24"/>
      <c r="O103" s="24"/>
      <c r="P103" s="24"/>
      <c r="Q103" s="24"/>
      <c r="R103" s="43"/>
      <c r="S103" s="43"/>
      <c r="T103" s="43"/>
      <c r="U103" s="24"/>
      <c r="V103" s="43"/>
      <c r="W103" s="43"/>
      <c r="X103" s="43"/>
      <c r="Y103" s="43"/>
      <c r="Z103" s="43"/>
      <c r="AA103" s="43"/>
      <c r="AB103" s="43"/>
      <c r="AC103" s="43"/>
      <c r="AD103" s="70"/>
      <c r="AE103" s="70"/>
      <c r="AF103" s="70"/>
      <c r="AG103" s="1"/>
      <c r="AH103" s="1"/>
    </row>
    <row r="104" spans="1:36" x14ac:dyDescent="0.35">
      <c r="A104" s="1" t="s">
        <v>172</v>
      </c>
      <c r="B104" s="35">
        <f>0.56+32.37</f>
        <v>32.93</v>
      </c>
      <c r="C104" s="35">
        <v>5.37</v>
      </c>
      <c r="D104" s="35">
        <v>13.579999999999995</v>
      </c>
      <c r="E104" s="26">
        <v>4.32</v>
      </c>
      <c r="F104" s="35">
        <v>48.47</v>
      </c>
      <c r="G104" s="35">
        <v>62.05</v>
      </c>
      <c r="H104" s="35">
        <f t="shared" ref="H104:H111" si="156">Y104</f>
        <v>149.13</v>
      </c>
      <c r="I104" s="35">
        <f t="shared" ref="I104:I111" si="157">AC104</f>
        <v>114.85000000000001</v>
      </c>
      <c r="J104" s="26"/>
      <c r="N104" s="35">
        <v>3.86</v>
      </c>
      <c r="O104" s="35">
        <v>0.06</v>
      </c>
      <c r="P104" s="35">
        <v>1.08</v>
      </c>
      <c r="Q104" s="35">
        <f t="shared" ref="Q104:Q111" si="158">F104</f>
        <v>48.47</v>
      </c>
      <c r="R104" s="35">
        <v>44.19</v>
      </c>
      <c r="S104" s="35">
        <v>70.88</v>
      </c>
      <c r="T104" s="35">
        <v>62.67</v>
      </c>
      <c r="U104" s="35">
        <f>G104</f>
        <v>62.05</v>
      </c>
      <c r="V104" s="35">
        <v>57.73</v>
      </c>
      <c r="W104" s="35">
        <v>96.009999999999977</v>
      </c>
      <c r="X104" s="35">
        <v>95.029999999999987</v>
      </c>
      <c r="Y104" s="35">
        <v>149.13</v>
      </c>
      <c r="Z104" s="35">
        <v>114.28</v>
      </c>
      <c r="AA104" s="35">
        <v>113.94999999999997</v>
      </c>
      <c r="AB104" s="35">
        <v>138.38</v>
      </c>
      <c r="AC104" s="35">
        <v>114.85000000000001</v>
      </c>
      <c r="AD104" s="69">
        <f t="shared" ref="AD104:AD112" si="159">IFERROR(AC104/Y104-1,"")</f>
        <v>-0.22986655937772404</v>
      </c>
      <c r="AE104" s="69">
        <f t="shared" ref="AE104:AE112" si="160">IFERROR(AC104/AB104-1,"")</f>
        <v>-0.17003902298019935</v>
      </c>
      <c r="AF104" s="75"/>
      <c r="AI104" s="111"/>
      <c r="AJ104" s="111"/>
    </row>
    <row r="105" spans="1:36" x14ac:dyDescent="0.35">
      <c r="A105" s="1" t="s">
        <v>173</v>
      </c>
      <c r="B105" s="35">
        <v>0</v>
      </c>
      <c r="C105" s="35">
        <v>0</v>
      </c>
      <c r="D105" s="35">
        <v>0</v>
      </c>
      <c r="E105" s="26" t="s">
        <v>179</v>
      </c>
      <c r="F105" s="35">
        <v>2395.86</v>
      </c>
      <c r="G105" s="35">
        <v>1687.82</v>
      </c>
      <c r="H105" s="35">
        <f t="shared" si="156"/>
        <v>3469.49</v>
      </c>
      <c r="I105" s="35">
        <f t="shared" si="157"/>
        <v>2775.28</v>
      </c>
      <c r="J105" s="26"/>
      <c r="N105" s="35">
        <v>1895.15</v>
      </c>
      <c r="O105" s="35">
        <v>2394.58</v>
      </c>
      <c r="P105" s="35">
        <v>2395.2199999999998</v>
      </c>
      <c r="Q105" s="35">
        <f t="shared" si="158"/>
        <v>2395.86</v>
      </c>
      <c r="R105" s="35">
        <v>2396.5</v>
      </c>
      <c r="S105" s="35">
        <v>2397.21</v>
      </c>
      <c r="T105" s="35">
        <v>2187.7199999999998</v>
      </c>
      <c r="U105" s="35">
        <f t="shared" ref="U105:U111" si="161">G105</f>
        <v>1687.82</v>
      </c>
      <c r="V105" s="35">
        <v>1688.23</v>
      </c>
      <c r="W105" s="35">
        <v>1688.67</v>
      </c>
      <c r="X105" s="35">
        <v>3467.79</v>
      </c>
      <c r="Y105" s="35">
        <v>3469.49</v>
      </c>
      <c r="Z105" s="35">
        <v>2771.09</v>
      </c>
      <c r="AA105" s="35">
        <v>2772.47</v>
      </c>
      <c r="AB105" s="35">
        <v>2773.85</v>
      </c>
      <c r="AC105" s="35">
        <v>2775.28</v>
      </c>
      <c r="AD105" s="69">
        <f t="shared" si="159"/>
        <v>-0.20008992676157</v>
      </c>
      <c r="AE105" s="69">
        <f t="shared" si="160"/>
        <v>5.1552895794659825E-4</v>
      </c>
      <c r="AF105" s="75"/>
      <c r="AG105" s="129"/>
      <c r="AH105" s="129"/>
      <c r="AI105" s="111"/>
      <c r="AJ105" s="111"/>
    </row>
    <row r="106" spans="1:36" x14ac:dyDescent="0.35">
      <c r="A106" s="1" t="s">
        <v>174</v>
      </c>
      <c r="B106" s="35">
        <v>6630.45</v>
      </c>
      <c r="C106" s="35">
        <v>10198.76</v>
      </c>
      <c r="D106" s="35">
        <v>19256.41</v>
      </c>
      <c r="E106" s="26">
        <v>24938.05</v>
      </c>
      <c r="F106" s="35">
        <v>28141.029999999995</v>
      </c>
      <c r="G106" s="35">
        <v>32979.85</v>
      </c>
      <c r="H106" s="35">
        <f t="shared" si="156"/>
        <v>44665.240000000005</v>
      </c>
      <c r="I106" s="35">
        <f t="shared" si="157"/>
        <v>70245.739999999991</v>
      </c>
      <c r="J106" s="26"/>
      <c r="N106" s="35">
        <v>24645.61</v>
      </c>
      <c r="O106" s="35">
        <v>23971.199999999997</v>
      </c>
      <c r="P106" s="35">
        <v>25998.289999999997</v>
      </c>
      <c r="Q106" s="35">
        <f t="shared" si="158"/>
        <v>28141.029999999995</v>
      </c>
      <c r="R106" s="35">
        <v>28438.009999999995</v>
      </c>
      <c r="S106" s="35">
        <v>28356.410000000003</v>
      </c>
      <c r="T106" s="35">
        <v>28048.089999999997</v>
      </c>
      <c r="U106" s="35">
        <f t="shared" si="161"/>
        <v>32979.85</v>
      </c>
      <c r="V106" s="35">
        <v>36115.089999999997</v>
      </c>
      <c r="W106" s="35">
        <v>39852.010000000009</v>
      </c>
      <c r="X106" s="35">
        <v>43546.090000000004</v>
      </c>
      <c r="Y106" s="35">
        <v>44665.240000000005</v>
      </c>
      <c r="Z106" s="35">
        <v>53492.569999999992</v>
      </c>
      <c r="AA106" s="35">
        <v>57245.130000000005</v>
      </c>
      <c r="AB106" s="35">
        <v>65688.75</v>
      </c>
      <c r="AC106" s="35">
        <v>70245.739999999991</v>
      </c>
      <c r="AD106" s="69">
        <f t="shared" si="159"/>
        <v>0.57271605391575164</v>
      </c>
      <c r="AE106" s="69">
        <f t="shared" si="160"/>
        <v>6.9372457232022011E-2</v>
      </c>
      <c r="AF106" s="75"/>
      <c r="AG106" s="129"/>
      <c r="AH106" s="129"/>
      <c r="AI106" s="111"/>
      <c r="AJ106" s="111"/>
    </row>
    <row r="107" spans="1:36" x14ac:dyDescent="0.35">
      <c r="A107" s="1" t="s">
        <v>175</v>
      </c>
      <c r="B107" s="35">
        <v>119.07</v>
      </c>
      <c r="C107" s="35">
        <v>136.74</v>
      </c>
      <c r="D107" s="35">
        <v>248.23000000000002</v>
      </c>
      <c r="E107" s="26">
        <v>355.83</v>
      </c>
      <c r="F107" s="35">
        <v>534.78</v>
      </c>
      <c r="G107" s="35">
        <v>569.1</v>
      </c>
      <c r="H107" s="35">
        <f t="shared" si="156"/>
        <v>754.45999999999992</v>
      </c>
      <c r="I107" s="35">
        <f t="shared" si="157"/>
        <v>791.95000000000039</v>
      </c>
      <c r="J107" s="26"/>
      <c r="N107" s="35">
        <v>451.34</v>
      </c>
      <c r="O107" s="35">
        <v>754.69999999999993</v>
      </c>
      <c r="P107" s="35">
        <v>586.39</v>
      </c>
      <c r="Q107" s="35">
        <f t="shared" si="158"/>
        <v>534.78</v>
      </c>
      <c r="R107" s="35">
        <v>545.76000000000022</v>
      </c>
      <c r="S107" s="35">
        <v>647.95000000000005</v>
      </c>
      <c r="T107" s="35">
        <v>646.21</v>
      </c>
      <c r="U107" s="35">
        <f t="shared" si="161"/>
        <v>569.1</v>
      </c>
      <c r="V107" s="35">
        <v>611.65</v>
      </c>
      <c r="W107" s="35">
        <v>891.34</v>
      </c>
      <c r="X107" s="35">
        <v>738.30000000000018</v>
      </c>
      <c r="Y107" s="35">
        <v>754.45999999999992</v>
      </c>
      <c r="Z107" s="35">
        <v>778.13000000000022</v>
      </c>
      <c r="AA107" s="35">
        <v>643.94000000000017</v>
      </c>
      <c r="AB107" s="35">
        <v>934.37</v>
      </c>
      <c r="AC107" s="35">
        <v>791.95000000000039</v>
      </c>
      <c r="AD107" s="69">
        <f t="shared" si="159"/>
        <v>4.9691169843332217E-2</v>
      </c>
      <c r="AE107" s="69">
        <f t="shared" si="160"/>
        <v>-0.15242355811937414</v>
      </c>
      <c r="AF107" s="75"/>
      <c r="AI107" s="111"/>
      <c r="AJ107" s="111"/>
    </row>
    <row r="108" spans="1:36" x14ac:dyDescent="0.35">
      <c r="A108" s="1" t="s">
        <v>176</v>
      </c>
      <c r="B108" s="35">
        <v>20.45</v>
      </c>
      <c r="C108" s="35">
        <v>18.740000000000002</v>
      </c>
      <c r="D108" s="35">
        <v>29.62</v>
      </c>
      <c r="E108" s="26">
        <v>66.39</v>
      </c>
      <c r="F108" s="35">
        <v>32.36</v>
      </c>
      <c r="G108" s="35">
        <v>45.36</v>
      </c>
      <c r="H108" s="35">
        <f t="shared" si="156"/>
        <v>59.559999999999995</v>
      </c>
      <c r="I108" s="35">
        <f t="shared" si="157"/>
        <v>73.84</v>
      </c>
      <c r="J108" s="26"/>
      <c r="N108" s="35">
        <v>59.63</v>
      </c>
      <c r="O108" s="35">
        <v>73.25</v>
      </c>
      <c r="P108" s="35">
        <v>86.4</v>
      </c>
      <c r="Q108" s="35">
        <f t="shared" si="158"/>
        <v>32.36</v>
      </c>
      <c r="R108" s="35">
        <v>34.25</v>
      </c>
      <c r="S108" s="35">
        <v>40.81</v>
      </c>
      <c r="T108" s="35">
        <v>47.78</v>
      </c>
      <c r="U108" s="35">
        <f t="shared" si="161"/>
        <v>45.36</v>
      </c>
      <c r="V108" s="35">
        <v>56.73</v>
      </c>
      <c r="W108" s="35">
        <v>64.5</v>
      </c>
      <c r="X108" s="35">
        <v>72.289999999999992</v>
      </c>
      <c r="Y108" s="35">
        <v>59.559999999999995</v>
      </c>
      <c r="Z108" s="35">
        <v>74.47</v>
      </c>
      <c r="AA108" s="35">
        <v>80.319999999999993</v>
      </c>
      <c r="AB108" s="35">
        <v>88.6</v>
      </c>
      <c r="AC108" s="35">
        <v>73.84</v>
      </c>
      <c r="AD108" s="69">
        <f t="shared" si="159"/>
        <v>0.23975822699798544</v>
      </c>
      <c r="AE108" s="69">
        <f t="shared" si="160"/>
        <v>-0.16659142212189604</v>
      </c>
      <c r="AF108" s="75"/>
      <c r="AI108" s="111"/>
      <c r="AJ108" s="111"/>
    </row>
    <row r="109" spans="1:36" x14ac:dyDescent="0.35">
      <c r="A109" s="1" t="s">
        <v>177</v>
      </c>
      <c r="B109" s="35">
        <v>0</v>
      </c>
      <c r="C109" s="35">
        <v>0</v>
      </c>
      <c r="D109" s="35">
        <v>0</v>
      </c>
      <c r="E109" s="26">
        <v>31.15</v>
      </c>
      <c r="F109" s="35">
        <v>79.58</v>
      </c>
      <c r="G109" s="35">
        <v>17.39</v>
      </c>
      <c r="H109" s="35">
        <f t="shared" si="156"/>
        <v>0</v>
      </c>
      <c r="I109" s="35">
        <f t="shared" si="157"/>
        <v>0</v>
      </c>
      <c r="J109" s="26"/>
      <c r="N109" s="35">
        <v>105.56</v>
      </c>
      <c r="O109" s="35">
        <v>67.52</v>
      </c>
      <c r="P109" s="35">
        <v>35.910000000000004</v>
      </c>
      <c r="Q109" s="35">
        <f t="shared" si="158"/>
        <v>79.58</v>
      </c>
      <c r="R109" s="35">
        <v>116.42</v>
      </c>
      <c r="S109" s="35">
        <v>120.09</v>
      </c>
      <c r="T109" s="35">
        <v>148.63999999999999</v>
      </c>
      <c r="U109" s="35">
        <f t="shared" si="161"/>
        <v>17.39</v>
      </c>
      <c r="V109" s="35">
        <v>11.18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69" t="str">
        <f t="shared" si="159"/>
        <v/>
      </c>
      <c r="AE109" s="69" t="str">
        <f t="shared" si="160"/>
        <v/>
      </c>
      <c r="AF109" s="75"/>
      <c r="AI109" s="111"/>
      <c r="AJ109" s="111"/>
    </row>
    <row r="110" spans="1:36" x14ac:dyDescent="0.35">
      <c r="A110" s="1" t="s">
        <v>178</v>
      </c>
      <c r="B110" s="35">
        <f>22.26+0.84</f>
        <v>23.1</v>
      </c>
      <c r="C110" s="35">
        <v>37.660000000000004</v>
      </c>
      <c r="D110" s="35">
        <v>40.81</v>
      </c>
      <c r="E110" s="26">
        <v>72.09</v>
      </c>
      <c r="F110" s="35">
        <v>64.040000000000006</v>
      </c>
      <c r="G110" s="35">
        <v>79.73</v>
      </c>
      <c r="H110" s="35">
        <f t="shared" si="156"/>
        <v>118.34</v>
      </c>
      <c r="I110" s="35">
        <f t="shared" si="157"/>
        <v>123.04999999999993</v>
      </c>
      <c r="J110" s="26"/>
      <c r="N110" s="35">
        <v>100.42</v>
      </c>
      <c r="O110" s="35">
        <v>82.71</v>
      </c>
      <c r="P110" s="35">
        <v>60.36</v>
      </c>
      <c r="Q110" s="35">
        <f t="shared" si="158"/>
        <v>64.040000000000006</v>
      </c>
      <c r="R110" s="35">
        <v>32.51</v>
      </c>
      <c r="S110" s="35">
        <v>64.38</v>
      </c>
      <c r="T110" s="35">
        <v>68.69</v>
      </c>
      <c r="U110" s="35">
        <f t="shared" si="161"/>
        <v>79.73</v>
      </c>
      <c r="V110" s="35">
        <v>132.74</v>
      </c>
      <c r="W110" s="35">
        <v>114.48</v>
      </c>
      <c r="X110" s="35">
        <v>93.61999999999999</v>
      </c>
      <c r="Y110" s="35">
        <v>118.34</v>
      </c>
      <c r="Z110" s="35">
        <v>167.32</v>
      </c>
      <c r="AA110" s="35">
        <v>111.16999999999992</v>
      </c>
      <c r="AB110" s="35">
        <v>99.48</v>
      </c>
      <c r="AC110" s="35">
        <v>123.04999999999993</v>
      </c>
      <c r="AD110" s="69">
        <f t="shared" si="159"/>
        <v>3.9800574615513895E-2</v>
      </c>
      <c r="AE110" s="69">
        <f t="shared" si="160"/>
        <v>0.23693204664254042</v>
      </c>
      <c r="AF110" s="75"/>
      <c r="AI110" s="111"/>
      <c r="AJ110" s="111"/>
    </row>
    <row r="111" spans="1:36" x14ac:dyDescent="0.35">
      <c r="A111" s="1" t="s">
        <v>86</v>
      </c>
      <c r="B111" s="35">
        <v>3063.58</v>
      </c>
      <c r="C111" s="35">
        <v>3252.15</v>
      </c>
      <c r="D111" s="35">
        <v>5226.6099999999988</v>
      </c>
      <c r="E111" s="26">
        <v>9334.26</v>
      </c>
      <c r="F111" s="35">
        <v>13805.43</v>
      </c>
      <c r="G111" s="35">
        <v>15736.85</v>
      </c>
      <c r="H111" s="35">
        <f t="shared" si="156"/>
        <v>18173.390000000003</v>
      </c>
      <c r="I111" s="35">
        <f t="shared" si="157"/>
        <v>21214.850000000006</v>
      </c>
      <c r="J111" s="26"/>
      <c r="N111" s="35">
        <v>9726.3599999999988</v>
      </c>
      <c r="O111" s="35">
        <v>9879.75</v>
      </c>
      <c r="P111" s="35">
        <v>10920.54</v>
      </c>
      <c r="Q111" s="35">
        <f t="shared" si="158"/>
        <v>13805.43</v>
      </c>
      <c r="R111" s="35">
        <v>14172.64</v>
      </c>
      <c r="S111" s="35">
        <v>14626.879999999997</v>
      </c>
      <c r="T111" s="35">
        <v>15100.25</v>
      </c>
      <c r="U111" s="35">
        <f t="shared" si="161"/>
        <v>15736.85</v>
      </c>
      <c r="V111" s="35">
        <v>16279.21</v>
      </c>
      <c r="W111" s="35">
        <v>16856.190000000002</v>
      </c>
      <c r="X111" s="35">
        <v>17483.3</v>
      </c>
      <c r="Y111" s="35">
        <v>18173.390000000003</v>
      </c>
      <c r="Z111" s="35">
        <v>18679.72</v>
      </c>
      <c r="AA111" s="35">
        <v>19467.320000000003</v>
      </c>
      <c r="AB111" s="35">
        <v>20318.040000000005</v>
      </c>
      <c r="AC111" s="35">
        <v>21214.850000000006</v>
      </c>
      <c r="AD111" s="69">
        <f t="shared" si="159"/>
        <v>0.16735787874469232</v>
      </c>
      <c r="AE111" s="69">
        <f t="shared" si="160"/>
        <v>4.4138607857844514E-2</v>
      </c>
      <c r="AF111" s="75"/>
      <c r="AI111" s="111"/>
      <c r="AJ111" s="111"/>
    </row>
    <row r="112" spans="1:36" s="2" customFormat="1" x14ac:dyDescent="0.35">
      <c r="A112" s="2" t="s">
        <v>35</v>
      </c>
      <c r="B112" s="24">
        <f t="shared" ref="B112:G112" si="162">SUM(B104:B111)</f>
        <v>9889.58</v>
      </c>
      <c r="C112" s="24">
        <f t="shared" si="162"/>
        <v>13649.42</v>
      </c>
      <c r="D112" s="24">
        <f t="shared" si="162"/>
        <v>24815.260000000002</v>
      </c>
      <c r="E112" s="4">
        <f t="shared" si="162"/>
        <v>34802.090000000004</v>
      </c>
      <c r="F112" s="24">
        <f t="shared" si="162"/>
        <v>45101.549999999996</v>
      </c>
      <c r="G112" s="24">
        <f t="shared" si="162"/>
        <v>51178.15</v>
      </c>
      <c r="H112" s="24">
        <f t="shared" ref="H112:I112" si="163">SUM(H104:H111)</f>
        <v>67389.61</v>
      </c>
      <c r="I112" s="24">
        <f t="shared" si="163"/>
        <v>95339.56</v>
      </c>
      <c r="J112" s="4"/>
      <c r="N112" s="24">
        <f t="shared" ref="N112:W112" si="164">SUM(N104:N111)</f>
        <v>36987.93</v>
      </c>
      <c r="O112" s="24">
        <f t="shared" si="164"/>
        <v>37223.769999999997</v>
      </c>
      <c r="P112" s="24">
        <f t="shared" si="164"/>
        <v>40084.19</v>
      </c>
      <c r="Q112" s="24">
        <f t="shared" si="164"/>
        <v>45101.549999999996</v>
      </c>
      <c r="R112" s="24">
        <f t="shared" si="164"/>
        <v>45780.279999999984</v>
      </c>
      <c r="S112" s="24">
        <f t="shared" si="164"/>
        <v>46324.61</v>
      </c>
      <c r="T112" s="24">
        <f>SUM(T104:T111)</f>
        <v>46310.049999999988</v>
      </c>
      <c r="U112" s="24">
        <f t="shared" si="164"/>
        <v>51178.15</v>
      </c>
      <c r="V112" s="24">
        <f t="shared" si="164"/>
        <v>54952.56</v>
      </c>
      <c r="W112" s="24">
        <f t="shared" si="164"/>
        <v>59563.200000000012</v>
      </c>
      <c r="X112" s="24">
        <f t="shared" ref="X112:Y112" si="165">SUM(X104:X111)</f>
        <v>65496.420000000013</v>
      </c>
      <c r="Y112" s="24">
        <f t="shared" si="165"/>
        <v>67389.61</v>
      </c>
      <c r="Z112" s="24">
        <f t="shared" ref="Z112:AA112" si="166">SUM(Z104:Z111)</f>
        <v>76077.579999999987</v>
      </c>
      <c r="AA112" s="24">
        <f t="shared" si="166"/>
        <v>80434.3</v>
      </c>
      <c r="AB112" s="24">
        <f>SUM(AB104:AB111)</f>
        <v>90041.47</v>
      </c>
      <c r="AC112" s="24">
        <f>SUM(AC104:AC111)</f>
        <v>95339.56</v>
      </c>
      <c r="AD112" s="71">
        <f t="shared" si="159"/>
        <v>0.41475162120688935</v>
      </c>
      <c r="AE112" s="71">
        <f t="shared" si="160"/>
        <v>5.884055424683754E-2</v>
      </c>
      <c r="AF112" s="76"/>
      <c r="AG112" s="124"/>
    </row>
    <row r="113" spans="1:34" x14ac:dyDescent="0.35">
      <c r="A113" s="1" t="s">
        <v>180</v>
      </c>
      <c r="B113" s="42">
        <f t="shared" ref="B113:G113" si="167">B112-B101</f>
        <v>0</v>
      </c>
      <c r="C113" s="42">
        <f t="shared" si="167"/>
        <v>0</v>
      </c>
      <c r="D113" s="42">
        <f t="shared" si="167"/>
        <v>0</v>
      </c>
      <c r="E113" s="39">
        <f t="shared" si="167"/>
        <v>0</v>
      </c>
      <c r="F113" s="46">
        <f t="shared" si="167"/>
        <v>0</v>
      </c>
      <c r="G113" s="46">
        <f t="shared" si="167"/>
        <v>0</v>
      </c>
      <c r="H113" s="46">
        <f t="shared" ref="H113:I113" si="168">H112-H101</f>
        <v>0</v>
      </c>
      <c r="I113" s="46">
        <f t="shared" si="168"/>
        <v>0</v>
      </c>
      <c r="J113" s="39"/>
      <c r="N113" s="46">
        <f t="shared" ref="N113:U113" si="169">N112-N101</f>
        <v>0</v>
      </c>
      <c r="O113" s="46">
        <f t="shared" si="169"/>
        <v>0</v>
      </c>
      <c r="P113" s="46">
        <f t="shared" si="169"/>
        <v>0</v>
      </c>
      <c r="Q113" s="46">
        <f t="shared" si="169"/>
        <v>0</v>
      </c>
      <c r="R113" s="46">
        <f t="shared" si="169"/>
        <v>0</v>
      </c>
      <c r="S113" s="46">
        <f t="shared" si="169"/>
        <v>0</v>
      </c>
      <c r="T113" s="46">
        <f>T112-T101</f>
        <v>0</v>
      </c>
      <c r="U113" s="46">
        <f t="shared" si="169"/>
        <v>0</v>
      </c>
      <c r="V113" s="46">
        <f t="shared" ref="V113:W113" si="170">V112-V101</f>
        <v>0</v>
      </c>
      <c r="W113" s="46">
        <f t="shared" si="170"/>
        <v>0</v>
      </c>
      <c r="X113" s="42">
        <f t="shared" ref="X113:Y113" si="171">X112-X101</f>
        <v>0</v>
      </c>
      <c r="Y113" s="42">
        <f t="shared" si="171"/>
        <v>0</v>
      </c>
      <c r="Z113" s="42">
        <f t="shared" ref="Z113:AA113" si="172">Z112-Z101</f>
        <v>0</v>
      </c>
      <c r="AA113" s="42">
        <f t="shared" si="172"/>
        <v>0</v>
      </c>
      <c r="AB113" s="42">
        <f t="shared" ref="AB113:AC113" si="173">AB112-AB101</f>
        <v>0</v>
      </c>
      <c r="AC113" s="42">
        <f t="shared" si="173"/>
        <v>0</v>
      </c>
    </row>
    <row r="114" spans="1:34" x14ac:dyDescent="0.35">
      <c r="F114" s="35"/>
      <c r="G114" s="35"/>
      <c r="H114" s="35"/>
      <c r="I114" s="35"/>
    </row>
    <row r="115" spans="1:34" s="14" customFormat="1" ht="13.5" x14ac:dyDescent="0.35">
      <c r="N115" s="56"/>
      <c r="O115" s="56"/>
      <c r="P115" s="84"/>
      <c r="Q115" s="56"/>
      <c r="R115" s="56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72"/>
      <c r="AE115" s="72"/>
      <c r="AF115" s="72"/>
    </row>
    <row r="116" spans="1:34" s="5" customFormat="1" x14ac:dyDescent="0.35">
      <c r="A116" s="5" t="s">
        <v>143</v>
      </c>
      <c r="B116" s="22" t="str">
        <f t="shared" ref="B116:I116" si="174">B$1</f>
        <v>FY17</v>
      </c>
      <c r="C116" s="22" t="str">
        <f t="shared" si="174"/>
        <v>FY18</v>
      </c>
      <c r="D116" s="22" t="str">
        <f t="shared" si="174"/>
        <v>FY19</v>
      </c>
      <c r="E116" s="22" t="str">
        <f t="shared" si="174"/>
        <v>FY20</v>
      </c>
      <c r="F116" s="22" t="str">
        <f t="shared" si="174"/>
        <v>FY21</v>
      </c>
      <c r="G116" s="22" t="str">
        <f t="shared" si="174"/>
        <v>FY22</v>
      </c>
      <c r="H116" s="22" t="str">
        <f t="shared" si="174"/>
        <v>FY23</v>
      </c>
      <c r="I116" s="22" t="str">
        <f t="shared" si="174"/>
        <v>FY24</v>
      </c>
      <c r="J116" s="22" t="str">
        <f>J$1</f>
        <v>Yoy%</v>
      </c>
      <c r="N116" s="6" t="str">
        <f t="shared" ref="N116:AE116" si="175">N$1</f>
        <v>Q1FY21</v>
      </c>
      <c r="O116" s="6" t="str">
        <f t="shared" si="175"/>
        <v>Q2FY21</v>
      </c>
      <c r="P116" s="80" t="str">
        <f t="shared" si="175"/>
        <v>Q3FY21</v>
      </c>
      <c r="Q116" s="6" t="str">
        <f t="shared" si="175"/>
        <v>Q4FY21</v>
      </c>
      <c r="R116" s="6" t="str">
        <f t="shared" si="175"/>
        <v>Q1FY22</v>
      </c>
      <c r="S116" s="80" t="str">
        <f t="shared" si="175"/>
        <v>Q2FY22</v>
      </c>
      <c r="T116" s="80" t="str">
        <f t="shared" si="175"/>
        <v>Q3FY22</v>
      </c>
      <c r="U116" s="80" t="str">
        <f t="shared" si="175"/>
        <v>Q4FY22</v>
      </c>
      <c r="V116" s="80" t="str">
        <f t="shared" si="175"/>
        <v>Q1FY23</v>
      </c>
      <c r="W116" s="80" t="str">
        <f t="shared" si="175"/>
        <v>Q2FY23</v>
      </c>
      <c r="X116" s="80" t="str">
        <f t="shared" si="175"/>
        <v>Q3FY23</v>
      </c>
      <c r="Y116" s="80" t="str">
        <f t="shared" si="175"/>
        <v>Q4FY23</v>
      </c>
      <c r="Z116" s="80" t="str">
        <f t="shared" si="175"/>
        <v>Q1FY24</v>
      </c>
      <c r="AA116" s="80" t="str">
        <f t="shared" si="175"/>
        <v>Q2FY24</v>
      </c>
      <c r="AB116" s="80" t="str">
        <f t="shared" si="175"/>
        <v>Q3FY24</v>
      </c>
      <c r="AC116" s="80" t="str">
        <f t="shared" si="175"/>
        <v>Q4FY24</v>
      </c>
      <c r="AD116" s="6" t="str">
        <f t="shared" si="175"/>
        <v>y-o-y</v>
      </c>
      <c r="AE116" s="6" t="str">
        <f t="shared" si="175"/>
        <v>q-o-q</v>
      </c>
      <c r="AF116" s="6"/>
    </row>
    <row r="117" spans="1:34" s="2" customFormat="1" x14ac:dyDescent="0.35">
      <c r="A117" s="2" t="s">
        <v>19</v>
      </c>
      <c r="B117" s="4">
        <f t="shared" ref="B117:G117" si="176">SUM(B118:B122)</f>
        <v>6630.4499999999989</v>
      </c>
      <c r="C117" s="4">
        <f t="shared" si="176"/>
        <v>10198.76</v>
      </c>
      <c r="D117" s="4">
        <f t="shared" si="176"/>
        <v>19256.41</v>
      </c>
      <c r="E117" s="4">
        <f t="shared" si="176"/>
        <v>24938.05</v>
      </c>
      <c r="F117" s="4">
        <f t="shared" si="176"/>
        <v>30536.89</v>
      </c>
      <c r="G117" s="4">
        <f t="shared" si="176"/>
        <v>34667.67</v>
      </c>
      <c r="H117" s="4">
        <f t="shared" ref="H117:I117" si="177">SUM(H118:H122)</f>
        <v>48134.729999999996</v>
      </c>
      <c r="I117" s="4">
        <f t="shared" si="177"/>
        <v>73021.01999999999</v>
      </c>
      <c r="J117" s="30">
        <f t="shared" ref="J117:J124" si="178">I117/H117-1</f>
        <v>0.51701318362022586</v>
      </c>
      <c r="N117" s="24">
        <f t="shared" ref="N117:U117" si="179">SUM(N118:N122)</f>
        <v>26540.76</v>
      </c>
      <c r="O117" s="24">
        <f t="shared" si="179"/>
        <v>26365.78</v>
      </c>
      <c r="P117" s="24">
        <f t="shared" si="179"/>
        <v>28393.51</v>
      </c>
      <c r="Q117" s="4">
        <f t="shared" si="179"/>
        <v>30536.89</v>
      </c>
      <c r="R117" s="4">
        <f t="shared" si="179"/>
        <v>30834.510000000002</v>
      </c>
      <c r="S117" s="4">
        <f t="shared" si="179"/>
        <v>30753.62</v>
      </c>
      <c r="T117" s="4">
        <f>SUM(T118:T122)</f>
        <v>30235.810000000005</v>
      </c>
      <c r="U117" s="4">
        <f t="shared" si="179"/>
        <v>34667.67</v>
      </c>
      <c r="V117" s="4">
        <f t="shared" ref="V117" si="180">SUM(V118:V122)</f>
        <v>37803.32</v>
      </c>
      <c r="W117" s="4">
        <f t="shared" ref="W117:AB117" si="181">SUM(W118:W122)</f>
        <v>41540.679999999993</v>
      </c>
      <c r="X117" s="4">
        <f t="shared" si="181"/>
        <v>47013.88</v>
      </c>
      <c r="Y117" s="4">
        <f t="shared" si="181"/>
        <v>48134.729999999996</v>
      </c>
      <c r="Z117" s="4">
        <f t="shared" si="181"/>
        <v>56263.66</v>
      </c>
      <c r="AA117" s="4">
        <f t="shared" si="181"/>
        <v>60017.600000000006</v>
      </c>
      <c r="AB117" s="4">
        <f t="shared" si="181"/>
        <v>68462.600000000006</v>
      </c>
      <c r="AC117" s="4">
        <f>SUM(AC118:AC122)</f>
        <v>73021.01999999999</v>
      </c>
      <c r="AD117" s="71">
        <f t="shared" ref="AD117:AD126" si="182">IFERROR(AC117/Y117-1,"")</f>
        <v>0.51701318362022586</v>
      </c>
      <c r="AE117" s="71">
        <f t="shared" ref="AE117:AE126" si="183">IFERROR(AC117/AB117-1,"")</f>
        <v>6.6582630516515362E-2</v>
      </c>
      <c r="AF117" s="76"/>
    </row>
    <row r="118" spans="1:34" x14ac:dyDescent="0.35">
      <c r="A118" s="1" t="s">
        <v>8</v>
      </c>
      <c r="B118" s="26">
        <v>375.48</v>
      </c>
      <c r="C118" s="26">
        <v>2144.9299999999998</v>
      </c>
      <c r="D118" s="26">
        <v>4447.04</v>
      </c>
      <c r="E118" s="26">
        <v>7536.2</v>
      </c>
      <c r="F118" s="26">
        <v>7378.38</v>
      </c>
      <c r="G118" s="26">
        <v>10288.67</v>
      </c>
      <c r="H118" s="26">
        <f t="shared" ref="H118:H122" si="184">Y118</f>
        <v>18756.46</v>
      </c>
      <c r="I118" s="26">
        <f>AC118</f>
        <v>27369.88</v>
      </c>
      <c r="J118" s="30">
        <f t="shared" si="178"/>
        <v>0.45922418196184145</v>
      </c>
      <c r="N118" s="26">
        <v>7083.02</v>
      </c>
      <c r="O118" s="26">
        <v>7518.78</v>
      </c>
      <c r="P118" s="26">
        <v>6711.61</v>
      </c>
      <c r="Q118" s="26">
        <f>F118</f>
        <v>7378.38</v>
      </c>
      <c r="R118" s="26">
        <v>8154.72</v>
      </c>
      <c r="S118" s="26">
        <v>8332.14</v>
      </c>
      <c r="T118" s="26">
        <v>8016.9272955891402</v>
      </c>
      <c r="U118" s="26">
        <f>G118</f>
        <v>10288.67</v>
      </c>
      <c r="V118" s="26">
        <v>12015.77</v>
      </c>
      <c r="W118" s="26">
        <v>16703.419999999998</v>
      </c>
      <c r="X118" s="26">
        <v>18451.64</v>
      </c>
      <c r="Y118" s="26">
        <v>18756.46</v>
      </c>
      <c r="Z118" s="26">
        <f>36859.44-Z119</f>
        <v>21924.090000000004</v>
      </c>
      <c r="AA118" s="26">
        <f>39704.57-AA119</f>
        <v>24351.86</v>
      </c>
      <c r="AB118" s="26">
        <v>25892.490000000005</v>
      </c>
      <c r="AC118" s="26">
        <v>27369.88</v>
      </c>
      <c r="AD118" s="69">
        <f t="shared" si="182"/>
        <v>0.45922418196184145</v>
      </c>
      <c r="AE118" s="69">
        <f t="shared" si="183"/>
        <v>5.7058629741673972E-2</v>
      </c>
      <c r="AF118" s="75"/>
      <c r="AH118" s="111"/>
    </row>
    <row r="119" spans="1:34" x14ac:dyDescent="0.35">
      <c r="A119" s="1" t="s">
        <v>9</v>
      </c>
      <c r="B119" s="26">
        <v>5666.98</v>
      </c>
      <c r="C119" s="26">
        <v>5598.82</v>
      </c>
      <c r="D119" s="26">
        <v>8941.74</v>
      </c>
      <c r="E119" s="26">
        <v>10256.77</v>
      </c>
      <c r="F119" s="26">
        <v>9368.01</v>
      </c>
      <c r="G119" s="26">
        <v>9960.07</v>
      </c>
      <c r="H119" s="26">
        <f t="shared" si="184"/>
        <v>15650.78</v>
      </c>
      <c r="I119" s="26">
        <f t="shared" ref="I119:I122" si="185">AC119</f>
        <v>25694.55</v>
      </c>
      <c r="J119" s="30">
        <f t="shared" si="178"/>
        <v>0.64174245628652371</v>
      </c>
      <c r="N119" s="26">
        <v>9771.73</v>
      </c>
      <c r="O119" s="26">
        <v>9003.24</v>
      </c>
      <c r="P119" s="26">
        <v>9683.4199999999983</v>
      </c>
      <c r="Q119" s="26">
        <f>F119</f>
        <v>9368.01</v>
      </c>
      <c r="R119" s="26">
        <v>9556.18</v>
      </c>
      <c r="S119" s="26">
        <v>9468.2199999999993</v>
      </c>
      <c r="T119" s="26">
        <v>10067.982704410862</v>
      </c>
      <c r="U119" s="26">
        <f>G119</f>
        <v>9960.07</v>
      </c>
      <c r="V119" s="26">
        <v>10745.61</v>
      </c>
      <c r="W119" s="26">
        <v>10588.5</v>
      </c>
      <c r="X119" s="26">
        <v>13942.35</v>
      </c>
      <c r="Y119" s="26">
        <v>15650.78</v>
      </c>
      <c r="Z119" s="26">
        <v>14935.35</v>
      </c>
      <c r="AA119" s="26">
        <f>15352.71</f>
        <v>15352.71</v>
      </c>
      <c r="AB119" s="26">
        <v>20565.669999999998</v>
      </c>
      <c r="AC119" s="26">
        <v>25694.55</v>
      </c>
      <c r="AD119" s="69">
        <f t="shared" si="182"/>
        <v>0.64174245628652371</v>
      </c>
      <c r="AE119" s="69">
        <f t="shared" si="183"/>
        <v>0.24939036753969113</v>
      </c>
      <c r="AF119" s="75"/>
      <c r="AH119" s="111"/>
    </row>
    <row r="120" spans="1:34" x14ac:dyDescent="0.35">
      <c r="A120" s="1" t="s">
        <v>10</v>
      </c>
      <c r="B120" s="26" t="s">
        <v>17</v>
      </c>
      <c r="C120" s="26" t="s">
        <v>16</v>
      </c>
      <c r="D120" s="26" t="s">
        <v>15</v>
      </c>
      <c r="E120" s="26">
        <v>601.41999999999996</v>
      </c>
      <c r="F120" s="26">
        <v>427.77</v>
      </c>
      <c r="G120" s="26">
        <v>788.26</v>
      </c>
      <c r="H120" s="26">
        <f t="shared" si="184"/>
        <v>1128.1400000000001</v>
      </c>
      <c r="I120" s="26">
        <f t="shared" si="185"/>
        <v>1484.8899999999999</v>
      </c>
      <c r="J120" s="30">
        <f t="shared" si="178"/>
        <v>0.31622848228056788</v>
      </c>
      <c r="N120" s="26">
        <v>560.41999999999996</v>
      </c>
      <c r="O120" s="26">
        <v>514.65</v>
      </c>
      <c r="P120" s="26">
        <v>472.91999999999996</v>
      </c>
      <c r="Q120" s="26">
        <f>F120</f>
        <v>427.77</v>
      </c>
      <c r="R120" s="26">
        <v>385.42</v>
      </c>
      <c r="S120" s="26">
        <v>837.5</v>
      </c>
      <c r="T120" s="26">
        <v>865.08999999999992</v>
      </c>
      <c r="U120" s="26">
        <f>G120</f>
        <v>788.26</v>
      </c>
      <c r="V120" s="26">
        <v>1466.82</v>
      </c>
      <c r="W120" s="26">
        <v>1350.26</v>
      </c>
      <c r="X120" s="26">
        <v>1239.24</v>
      </c>
      <c r="Y120" s="26">
        <v>1128.1400000000001</v>
      </c>
      <c r="Z120" s="26">
        <v>1857.5699999999997</v>
      </c>
      <c r="AA120" s="26">
        <v>1729.23</v>
      </c>
      <c r="AB120" s="26">
        <v>1600.8500000000001</v>
      </c>
      <c r="AC120" s="26">
        <v>1484.8899999999999</v>
      </c>
      <c r="AD120" s="69">
        <f t="shared" si="182"/>
        <v>0.31622848228056788</v>
      </c>
      <c r="AE120" s="69">
        <f t="shared" si="183"/>
        <v>-7.2436518099759706E-2</v>
      </c>
      <c r="AF120" s="75"/>
    </row>
    <row r="121" spans="1:34" x14ac:dyDescent="0.35">
      <c r="A121" s="1" t="s">
        <v>11</v>
      </c>
      <c r="B121" s="26">
        <v>587.99</v>
      </c>
      <c r="C121" s="26">
        <v>2455.0100000000002</v>
      </c>
      <c r="D121" s="26">
        <v>5867.63</v>
      </c>
      <c r="E121" s="26">
        <v>6543.66</v>
      </c>
      <c r="F121" s="26">
        <v>10966.87</v>
      </c>
      <c r="G121" s="26">
        <v>11942.85</v>
      </c>
      <c r="H121" s="26">
        <f t="shared" si="184"/>
        <v>9129.86</v>
      </c>
      <c r="I121" s="26">
        <f t="shared" si="185"/>
        <v>15696.419999999998</v>
      </c>
      <c r="J121" s="30">
        <f t="shared" si="178"/>
        <v>0.71923994453365081</v>
      </c>
      <c r="N121" s="26">
        <v>7230.44</v>
      </c>
      <c r="O121" s="26">
        <v>6934.53</v>
      </c>
      <c r="P121" s="26">
        <v>9130.34</v>
      </c>
      <c r="Q121" s="26">
        <f>F121</f>
        <v>10966.87</v>
      </c>
      <c r="R121" s="26">
        <v>10341.69</v>
      </c>
      <c r="S121" s="26">
        <v>9718.5499999999993</v>
      </c>
      <c r="T121" s="26">
        <v>9098.09</v>
      </c>
      <c r="U121" s="26">
        <f>G121</f>
        <v>11942.85</v>
      </c>
      <c r="V121" s="26">
        <v>11886.89</v>
      </c>
      <c r="W121" s="26">
        <v>11209.83</v>
      </c>
      <c r="X121" s="26">
        <v>9912.86</v>
      </c>
      <c r="Y121" s="26">
        <v>9129.86</v>
      </c>
      <c r="Z121" s="26">
        <v>14775.56</v>
      </c>
      <c r="AA121" s="26">
        <v>15811.330000000002</v>
      </c>
      <c r="AB121" s="26">
        <v>17629.740000000002</v>
      </c>
      <c r="AC121" s="26">
        <v>15696.419999999998</v>
      </c>
      <c r="AD121" s="69">
        <f t="shared" si="182"/>
        <v>0.71923994453365081</v>
      </c>
      <c r="AE121" s="69">
        <f t="shared" si="183"/>
        <v>-0.10966242270163962</v>
      </c>
      <c r="AF121" s="75"/>
    </row>
    <row r="122" spans="1:34" x14ac:dyDescent="0.35">
      <c r="A122" s="1" t="s">
        <v>12</v>
      </c>
      <c r="B122" s="26">
        <v>0</v>
      </c>
      <c r="C122" s="26">
        <v>0</v>
      </c>
      <c r="D122" s="26">
        <v>0</v>
      </c>
      <c r="E122" s="26">
        <v>0</v>
      </c>
      <c r="F122" s="26">
        <v>2395.86</v>
      </c>
      <c r="G122" s="26">
        <v>1687.82</v>
      </c>
      <c r="H122" s="26">
        <f t="shared" si="184"/>
        <v>3469.49</v>
      </c>
      <c r="I122" s="26">
        <f t="shared" si="185"/>
        <v>2775.28</v>
      </c>
      <c r="J122" s="30">
        <f t="shared" si="178"/>
        <v>-0.20008992676157</v>
      </c>
      <c r="N122" s="26">
        <v>1895.15</v>
      </c>
      <c r="O122" s="26">
        <v>2394.58</v>
      </c>
      <c r="P122" s="26">
        <v>2395.2199999999998</v>
      </c>
      <c r="Q122" s="26">
        <f>F122</f>
        <v>2395.86</v>
      </c>
      <c r="R122" s="26">
        <v>2396.5</v>
      </c>
      <c r="S122" s="26">
        <v>2397.21</v>
      </c>
      <c r="T122" s="26">
        <v>2187.7199999999998</v>
      </c>
      <c r="U122" s="26">
        <f>G122</f>
        <v>1687.82</v>
      </c>
      <c r="V122" s="26">
        <v>1688.23</v>
      </c>
      <c r="W122" s="26">
        <v>1688.67</v>
      </c>
      <c r="X122" s="26">
        <v>3467.79</v>
      </c>
      <c r="Y122" s="26">
        <v>3469.49</v>
      </c>
      <c r="Z122" s="26">
        <v>2771.09</v>
      </c>
      <c r="AA122" s="26">
        <v>2772.47</v>
      </c>
      <c r="AB122" s="26">
        <v>2773.85</v>
      </c>
      <c r="AC122" s="26">
        <v>2775.28</v>
      </c>
      <c r="AD122" s="69">
        <f t="shared" si="182"/>
        <v>-0.20008992676157</v>
      </c>
      <c r="AE122" s="69">
        <f t="shared" si="183"/>
        <v>5.1552895794659825E-4</v>
      </c>
      <c r="AF122" s="75"/>
    </row>
    <row r="123" spans="1:34" x14ac:dyDescent="0.35">
      <c r="A123" s="2" t="s">
        <v>241</v>
      </c>
      <c r="B123" s="4">
        <f t="shared" ref="B123" si="186">SUM(B124:B125)</f>
        <v>542.41999999999996</v>
      </c>
      <c r="C123" s="4">
        <f t="shared" ref="C123" si="187">SUM(C124:C125)</f>
        <v>374.62</v>
      </c>
      <c r="D123" s="4">
        <f t="shared" ref="D123" si="188">SUM(D124:D125)</f>
        <v>2920.65</v>
      </c>
      <c r="E123" s="4">
        <f t="shared" ref="E123" si="189">SUM(E124:E125)</f>
        <v>5760.9</v>
      </c>
      <c r="F123" s="4">
        <f t="shared" ref="F123:G123" si="190">SUM(F124:F125)</f>
        <v>7655.86</v>
      </c>
      <c r="G123" s="4">
        <f t="shared" si="190"/>
        <v>10251.59</v>
      </c>
      <c r="H123" s="4">
        <f t="shared" ref="H123:I123" si="191">SUM(H124:H125)</f>
        <v>11420.98</v>
      </c>
      <c r="I123" s="4">
        <f t="shared" si="191"/>
        <v>14932.63</v>
      </c>
      <c r="J123" s="30">
        <f t="shared" si="178"/>
        <v>0.30747361434833076</v>
      </c>
      <c r="N123" s="4">
        <f t="shared" ref="N123:AA123" si="192">SUM(N124:N125)</f>
        <v>7501.27</v>
      </c>
      <c r="O123" s="4">
        <f t="shared" si="192"/>
        <v>7175.2</v>
      </c>
      <c r="P123" s="4">
        <f t="shared" si="192"/>
        <v>6882.5057435312592</v>
      </c>
      <c r="Q123" s="4">
        <f t="shared" si="192"/>
        <v>7655.86</v>
      </c>
      <c r="R123" s="4">
        <f t="shared" si="192"/>
        <v>8487.92</v>
      </c>
      <c r="S123" s="4">
        <f t="shared" si="192"/>
        <v>9285.1</v>
      </c>
      <c r="T123" s="4">
        <f t="shared" si="192"/>
        <v>9914.15</v>
      </c>
      <c r="U123" s="4">
        <f t="shared" si="192"/>
        <v>10251.59</v>
      </c>
      <c r="V123" s="4">
        <f t="shared" si="192"/>
        <v>10584.06</v>
      </c>
      <c r="W123" s="4">
        <f t="shared" si="192"/>
        <v>10740.71</v>
      </c>
      <c r="X123" s="4">
        <f t="shared" si="192"/>
        <v>10995.27</v>
      </c>
      <c r="Y123" s="4">
        <f t="shared" si="192"/>
        <v>11420.98</v>
      </c>
      <c r="Z123" s="4">
        <f t="shared" si="192"/>
        <v>11951.71</v>
      </c>
      <c r="AA123" s="4">
        <f t="shared" si="192"/>
        <v>12774.5</v>
      </c>
      <c r="AB123" s="4">
        <f>SUM(AB124:AB125)</f>
        <v>14051.789999999999</v>
      </c>
      <c r="AC123" s="4">
        <f>SUM(AC124:AC125)</f>
        <v>14932.63</v>
      </c>
      <c r="AD123" s="71">
        <f t="shared" si="182"/>
        <v>0.30747361434833076</v>
      </c>
      <c r="AE123" s="71">
        <f t="shared" si="183"/>
        <v>6.2685252199186081E-2</v>
      </c>
      <c r="AF123" s="75"/>
    </row>
    <row r="124" spans="1:34" x14ac:dyDescent="0.35">
      <c r="A124" s="1" t="s">
        <v>239</v>
      </c>
      <c r="B124" s="26">
        <f t="shared" ref="B124:H125" si="193">B4</f>
        <v>542.41999999999996</v>
      </c>
      <c r="C124" s="26">
        <f t="shared" si="193"/>
        <v>374.62</v>
      </c>
      <c r="D124" s="26">
        <f t="shared" si="193"/>
        <v>2920.65</v>
      </c>
      <c r="E124" s="26">
        <f t="shared" si="193"/>
        <v>5760.9</v>
      </c>
      <c r="F124" s="26">
        <f t="shared" si="193"/>
        <v>7655.86</v>
      </c>
      <c r="G124" s="26">
        <f t="shared" si="193"/>
        <v>10251.59</v>
      </c>
      <c r="H124" s="26">
        <f t="shared" si="193"/>
        <v>10564.91</v>
      </c>
      <c r="I124" s="26">
        <f t="shared" ref="I124" si="194">I4</f>
        <v>12191.39</v>
      </c>
      <c r="J124" s="30">
        <f t="shared" si="178"/>
        <v>0.15395114582140312</v>
      </c>
      <c r="N124" s="26">
        <f t="shared" ref="N124:AB124" si="195">N4</f>
        <v>7501.27</v>
      </c>
      <c r="O124" s="26">
        <f t="shared" si="195"/>
        <v>7175.2</v>
      </c>
      <c r="P124" s="26">
        <f t="shared" si="195"/>
        <v>6882.5057435312592</v>
      </c>
      <c r="Q124" s="26">
        <f t="shared" si="195"/>
        <v>7655.86</v>
      </c>
      <c r="R124" s="26">
        <f t="shared" si="195"/>
        <v>8487.92</v>
      </c>
      <c r="S124" s="26">
        <f t="shared" si="195"/>
        <v>9285.1</v>
      </c>
      <c r="T124" s="26">
        <f t="shared" si="195"/>
        <v>9914.15</v>
      </c>
      <c r="U124" s="26">
        <f t="shared" si="195"/>
        <v>10251.59</v>
      </c>
      <c r="V124" s="26">
        <f t="shared" si="195"/>
        <v>10507.439999999999</v>
      </c>
      <c r="W124" s="26">
        <f t="shared" si="195"/>
        <v>10498.74</v>
      </c>
      <c r="X124" s="26">
        <f t="shared" si="195"/>
        <v>10455.25</v>
      </c>
      <c r="Y124" s="26">
        <f t="shared" si="195"/>
        <v>10564.91</v>
      </c>
      <c r="Z124" s="26">
        <f t="shared" si="195"/>
        <v>10770.24</v>
      </c>
      <c r="AA124" s="26">
        <f t="shared" si="195"/>
        <v>11135.94</v>
      </c>
      <c r="AB124" s="26">
        <f t="shared" si="195"/>
        <v>11881.97</v>
      </c>
      <c r="AC124" s="26">
        <f t="shared" ref="AC124" si="196">AC4</f>
        <v>12191.39</v>
      </c>
      <c r="AD124" s="69">
        <f t="shared" si="182"/>
        <v>0.15395114582140312</v>
      </c>
      <c r="AE124" s="69">
        <f t="shared" si="183"/>
        <v>2.604113627622362E-2</v>
      </c>
      <c r="AF124" s="75"/>
    </row>
    <row r="125" spans="1:34" x14ac:dyDescent="0.35">
      <c r="A125" s="1" t="s">
        <v>240</v>
      </c>
      <c r="B125" s="26">
        <f t="shared" si="193"/>
        <v>0</v>
      </c>
      <c r="C125" s="26">
        <f t="shared" si="193"/>
        <v>0</v>
      </c>
      <c r="D125" s="26">
        <f t="shared" si="193"/>
        <v>0</v>
      </c>
      <c r="E125" s="26">
        <f t="shared" si="193"/>
        <v>0</v>
      </c>
      <c r="F125" s="26">
        <f t="shared" si="193"/>
        <v>0</v>
      </c>
      <c r="G125" s="26">
        <f t="shared" si="193"/>
        <v>0</v>
      </c>
      <c r="H125" s="26">
        <f t="shared" si="193"/>
        <v>856.07</v>
      </c>
      <c r="I125" s="26">
        <f t="shared" ref="I125" si="197">I5</f>
        <v>2741.24</v>
      </c>
      <c r="J125" s="30">
        <f>I125/H125-1</f>
        <v>2.2021213218545208</v>
      </c>
      <c r="N125" s="26">
        <f t="shared" ref="N125:AB125" si="198">N5</f>
        <v>0</v>
      </c>
      <c r="O125" s="26">
        <f t="shared" si="198"/>
        <v>0</v>
      </c>
      <c r="P125" s="26">
        <f t="shared" si="198"/>
        <v>0</v>
      </c>
      <c r="Q125" s="26">
        <f t="shared" si="198"/>
        <v>0</v>
      </c>
      <c r="R125" s="26">
        <f t="shared" si="198"/>
        <v>0</v>
      </c>
      <c r="S125" s="26">
        <f t="shared" si="198"/>
        <v>0</v>
      </c>
      <c r="T125" s="26">
        <f t="shared" si="198"/>
        <v>0</v>
      </c>
      <c r="U125" s="26">
        <f t="shared" si="198"/>
        <v>0</v>
      </c>
      <c r="V125" s="26">
        <f t="shared" si="198"/>
        <v>76.62</v>
      </c>
      <c r="W125" s="26">
        <f t="shared" si="198"/>
        <v>241.97</v>
      </c>
      <c r="X125" s="26">
        <f t="shared" si="198"/>
        <v>540.02</v>
      </c>
      <c r="Y125" s="26">
        <f t="shared" si="198"/>
        <v>856.07</v>
      </c>
      <c r="Z125" s="26">
        <f t="shared" si="198"/>
        <v>1181.47</v>
      </c>
      <c r="AA125" s="26">
        <f t="shared" si="198"/>
        <v>1638.56</v>
      </c>
      <c r="AB125" s="26">
        <f t="shared" si="198"/>
        <v>2169.8200000000002</v>
      </c>
      <c r="AC125" s="26">
        <f t="shared" ref="AC125" si="199">AC5</f>
        <v>2741.24</v>
      </c>
      <c r="AD125" s="69">
        <f t="shared" si="182"/>
        <v>2.2021213218545208</v>
      </c>
      <c r="AE125" s="69">
        <f t="shared" si="183"/>
        <v>0.26334903356038719</v>
      </c>
      <c r="AF125" s="75"/>
    </row>
    <row r="126" spans="1:34" x14ac:dyDescent="0.35">
      <c r="A126" s="2" t="s">
        <v>147</v>
      </c>
      <c r="B126" s="4">
        <f t="shared" ref="B126:G126" si="200">B117+B123</f>
        <v>7172.869999999999</v>
      </c>
      <c r="C126" s="4">
        <f t="shared" si="200"/>
        <v>10573.380000000001</v>
      </c>
      <c r="D126" s="4">
        <f t="shared" si="200"/>
        <v>22177.06</v>
      </c>
      <c r="E126" s="4">
        <f t="shared" si="200"/>
        <v>30698.949999999997</v>
      </c>
      <c r="F126" s="4">
        <f t="shared" si="200"/>
        <v>38192.75</v>
      </c>
      <c r="G126" s="4">
        <f t="shared" si="200"/>
        <v>44919.259999999995</v>
      </c>
      <c r="H126" s="4">
        <f t="shared" ref="H126:I126" si="201">H117+H123</f>
        <v>59555.709999999992</v>
      </c>
      <c r="I126" s="4">
        <f t="shared" si="201"/>
        <v>87953.65</v>
      </c>
      <c r="J126" s="30">
        <f>I126/H126-1</f>
        <v>0.47682984553454255</v>
      </c>
      <c r="N126" s="4">
        <f t="shared" ref="N126:U126" si="202">N117+N123</f>
        <v>34042.03</v>
      </c>
      <c r="O126" s="4">
        <f t="shared" si="202"/>
        <v>33540.979999999996</v>
      </c>
      <c r="P126" s="4">
        <f t="shared" si="202"/>
        <v>35276.015743531258</v>
      </c>
      <c r="Q126" s="4">
        <f t="shared" si="202"/>
        <v>38192.75</v>
      </c>
      <c r="R126" s="4">
        <f t="shared" si="202"/>
        <v>39322.43</v>
      </c>
      <c r="S126" s="4">
        <f t="shared" si="202"/>
        <v>40038.720000000001</v>
      </c>
      <c r="T126" s="4">
        <f>T117+T123</f>
        <v>40149.960000000006</v>
      </c>
      <c r="U126" s="4">
        <f t="shared" si="202"/>
        <v>44919.259999999995</v>
      </c>
      <c r="V126" s="4">
        <f t="shared" ref="V126:W126" si="203">V117+V123</f>
        <v>48387.38</v>
      </c>
      <c r="W126" s="4">
        <f t="shared" si="203"/>
        <v>52281.389999999992</v>
      </c>
      <c r="X126" s="4">
        <f t="shared" ref="X126:AC126" si="204">X117+X123</f>
        <v>58009.149999999994</v>
      </c>
      <c r="Y126" s="4">
        <f t="shared" si="204"/>
        <v>59555.709999999992</v>
      </c>
      <c r="Z126" s="4">
        <f t="shared" si="204"/>
        <v>68215.37</v>
      </c>
      <c r="AA126" s="4">
        <f t="shared" si="204"/>
        <v>72792.100000000006</v>
      </c>
      <c r="AB126" s="4">
        <f t="shared" si="204"/>
        <v>82514.39</v>
      </c>
      <c r="AC126" s="4">
        <f t="shared" si="204"/>
        <v>87953.65</v>
      </c>
      <c r="AD126" s="71">
        <f t="shared" si="182"/>
        <v>0.47682984553454255</v>
      </c>
      <c r="AE126" s="71">
        <f t="shared" si="183"/>
        <v>6.5918926383628396E-2</v>
      </c>
      <c r="AF126" s="75"/>
    </row>
    <row r="128" spans="1:34" x14ac:dyDescent="0.35">
      <c r="A128" s="2" t="s">
        <v>148</v>
      </c>
    </row>
    <row r="129" spans="1:32" x14ac:dyDescent="0.35">
      <c r="A129" s="1" t="s">
        <v>8</v>
      </c>
      <c r="B129" s="16">
        <f t="shared" ref="B129:H133" si="205">IFERROR(B118/B$126,"")</f>
        <v>5.2347247336143002E-2</v>
      </c>
      <c r="C129" s="16">
        <f t="shared" si="205"/>
        <v>0.20286133667758083</v>
      </c>
      <c r="D129" s="16">
        <f t="shared" si="205"/>
        <v>0.20052432558689023</v>
      </c>
      <c r="E129" s="16">
        <f t="shared" si="205"/>
        <v>0.24548722350438698</v>
      </c>
      <c r="F129" s="16">
        <f t="shared" si="205"/>
        <v>0.193187974157399</v>
      </c>
      <c r="G129" s="90">
        <f t="shared" si="205"/>
        <v>0.22904807425589827</v>
      </c>
      <c r="H129" s="90">
        <f t="shared" si="205"/>
        <v>0.31493974297342775</v>
      </c>
      <c r="I129" s="90">
        <f t="shared" ref="I129" si="206">IFERROR(I118/I$126,"")</f>
        <v>0.31118526633061849</v>
      </c>
      <c r="J129" s="16"/>
      <c r="N129" s="16">
        <f t="shared" ref="N129:U133" si="207">N118/N$126</f>
        <v>0.2080669102283266</v>
      </c>
      <c r="O129" s="16">
        <f t="shared" si="207"/>
        <v>0.22416697425060331</v>
      </c>
      <c r="P129" s="16">
        <f t="shared" si="207"/>
        <v>0.19025986519553989</v>
      </c>
      <c r="Q129" s="16">
        <f t="shared" si="207"/>
        <v>0.193187974157399</v>
      </c>
      <c r="R129" s="16">
        <f t="shared" si="207"/>
        <v>0.20738087651246376</v>
      </c>
      <c r="S129" s="16">
        <f t="shared" si="207"/>
        <v>0.20810205720862204</v>
      </c>
      <c r="T129" s="16">
        <f t="shared" si="207"/>
        <v>0.19967460230568446</v>
      </c>
      <c r="U129" s="16">
        <f t="shared" si="207"/>
        <v>0.22904807425589827</v>
      </c>
      <c r="V129" s="16">
        <f t="shared" ref="V129:W129" si="208">V118/V$126</f>
        <v>0.24832445980749529</v>
      </c>
      <c r="W129" s="16">
        <f t="shared" si="208"/>
        <v>0.31949074039538738</v>
      </c>
      <c r="X129" s="16">
        <f t="shared" ref="X129:Y129" si="209">X118/X$126</f>
        <v>0.31808154403227767</v>
      </c>
      <c r="Y129" s="16">
        <f t="shared" si="209"/>
        <v>0.31493974297342775</v>
      </c>
      <c r="Z129" s="16">
        <f t="shared" ref="Z129:AA129" si="210">Z118/Z$126</f>
        <v>0.32139516358263548</v>
      </c>
      <c r="AA129" s="16">
        <f t="shared" si="210"/>
        <v>0.3345398745193503</v>
      </c>
      <c r="AB129" s="16">
        <f t="shared" ref="AB129:AC129" si="211">AB118/AB$126</f>
        <v>0.31379363042010011</v>
      </c>
      <c r="AC129" s="16">
        <f t="shared" si="211"/>
        <v>0.31118526633061849</v>
      </c>
    </row>
    <row r="130" spans="1:32" x14ac:dyDescent="0.35">
      <c r="A130" s="1" t="s">
        <v>9</v>
      </c>
      <c r="B130" s="16">
        <f t="shared" si="205"/>
        <v>0.79005753624420916</v>
      </c>
      <c r="C130" s="16">
        <f t="shared" si="205"/>
        <v>0.52952036151164517</v>
      </c>
      <c r="D130" s="16">
        <f t="shared" si="205"/>
        <v>0.40319771872376226</v>
      </c>
      <c r="E130" s="16">
        <f t="shared" si="205"/>
        <v>0.33410816982339792</v>
      </c>
      <c r="F130" s="16">
        <f t="shared" si="205"/>
        <v>0.24528241616537172</v>
      </c>
      <c r="G130" s="90">
        <f t="shared" si="205"/>
        <v>0.22173272667448218</v>
      </c>
      <c r="H130" s="90">
        <f t="shared" si="205"/>
        <v>0.26279226626632446</v>
      </c>
      <c r="I130" s="90">
        <f t="shared" ref="I130" si="212">IFERROR(I119/I$126,"")</f>
        <v>0.29213739281996826</v>
      </c>
      <c r="J130" s="16"/>
      <c r="N130" s="16">
        <f t="shared" si="207"/>
        <v>0.28704898033401649</v>
      </c>
      <c r="O130" s="16">
        <f t="shared" si="207"/>
        <v>0.26842507285118089</v>
      </c>
      <c r="P130" s="16">
        <f t="shared" si="207"/>
        <v>0.27450435645572291</v>
      </c>
      <c r="Q130" s="16">
        <f t="shared" si="207"/>
        <v>0.24528241616537172</v>
      </c>
      <c r="R130" s="16">
        <f t="shared" si="207"/>
        <v>0.24302109508491718</v>
      </c>
      <c r="S130" s="16">
        <f t="shared" si="207"/>
        <v>0.23647659066024088</v>
      </c>
      <c r="T130" s="16">
        <f t="shared" si="207"/>
        <v>0.25075947035590723</v>
      </c>
      <c r="U130" s="16">
        <f t="shared" si="207"/>
        <v>0.22173272667448218</v>
      </c>
      <c r="V130" s="16">
        <f t="shared" ref="V130:W130" si="213">V119/V$126</f>
        <v>0.22207464012310651</v>
      </c>
      <c r="W130" s="16">
        <f t="shared" si="213"/>
        <v>0.20252904523005225</v>
      </c>
      <c r="X130" s="16">
        <f t="shared" ref="X130:Y130" si="214">X119/X$126</f>
        <v>0.24034742794886671</v>
      </c>
      <c r="Y130" s="16">
        <f t="shared" si="214"/>
        <v>0.26279226626632446</v>
      </c>
      <c r="Z130" s="16">
        <f t="shared" ref="Z130:AA130" si="215">Z119/Z$126</f>
        <v>0.21894405908814979</v>
      </c>
      <c r="AA130" s="16">
        <f t="shared" si="215"/>
        <v>0.21091176102901274</v>
      </c>
      <c r="AB130" s="16">
        <f t="shared" ref="AB130:AC130" si="216">AB119/AB$126</f>
        <v>0.24923737544445276</v>
      </c>
      <c r="AC130" s="16">
        <f t="shared" si="216"/>
        <v>0.29213739281996826</v>
      </c>
    </row>
    <row r="131" spans="1:32" x14ac:dyDescent="0.35">
      <c r="A131" s="1" t="s">
        <v>10</v>
      </c>
      <c r="B131" s="16" t="str">
        <f t="shared" si="205"/>
        <v/>
      </c>
      <c r="C131" s="16" t="str">
        <f t="shared" si="205"/>
        <v/>
      </c>
      <c r="D131" s="16" t="str">
        <f t="shared" si="205"/>
        <v/>
      </c>
      <c r="E131" s="16">
        <f t="shared" si="205"/>
        <v>1.9590898060031371E-2</v>
      </c>
      <c r="F131" s="16">
        <f t="shared" si="205"/>
        <v>1.1200293249373244E-2</v>
      </c>
      <c r="G131" s="90">
        <f t="shared" si="205"/>
        <v>1.754837457251077E-2</v>
      </c>
      <c r="H131" s="90">
        <f t="shared" si="205"/>
        <v>1.8942600130197426E-2</v>
      </c>
      <c r="I131" s="90">
        <f t="shared" ref="I131" si="217">IFERROR(I120/I$126,"")</f>
        <v>1.6882642164367256E-2</v>
      </c>
      <c r="J131" s="16"/>
      <c r="N131" s="16">
        <f t="shared" si="207"/>
        <v>1.646259050943789E-2</v>
      </c>
      <c r="O131" s="16">
        <f t="shared" si="207"/>
        <v>1.5343916605895238E-2</v>
      </c>
      <c r="P131" s="16">
        <f t="shared" si="207"/>
        <v>1.3406275908206037E-2</v>
      </c>
      <c r="Q131" s="16">
        <f t="shared" si="207"/>
        <v>1.1200293249373244E-2</v>
      </c>
      <c r="R131" s="16">
        <f t="shared" si="207"/>
        <v>9.8015305768234563E-3</v>
      </c>
      <c r="S131" s="16">
        <f t="shared" si="207"/>
        <v>2.091725209996723E-2</v>
      </c>
      <c r="T131" s="16">
        <f t="shared" si="207"/>
        <v>2.1546472275439373E-2</v>
      </c>
      <c r="U131" s="16">
        <f t="shared" si="207"/>
        <v>1.754837457251077E-2</v>
      </c>
      <c r="V131" s="16">
        <f t="shared" ref="V131:W131" si="218">V120/V$126</f>
        <v>3.0314102561453008E-2</v>
      </c>
      <c r="W131" s="16">
        <f t="shared" si="218"/>
        <v>2.5826780810533159E-2</v>
      </c>
      <c r="X131" s="16">
        <f t="shared" ref="X131:Y131" si="219">X120/X$126</f>
        <v>2.136283672489599E-2</v>
      </c>
      <c r="Y131" s="16">
        <f t="shared" si="219"/>
        <v>1.8942600130197426E-2</v>
      </c>
      <c r="Z131" s="16">
        <f t="shared" ref="Z131:AA131" si="220">Z120/Z$126</f>
        <v>2.7230959826209253E-2</v>
      </c>
      <c r="AA131" s="16">
        <f t="shared" si="220"/>
        <v>2.3755737229726851E-2</v>
      </c>
      <c r="AB131" s="16">
        <f t="shared" ref="AB131:AC131" si="221">AB120/AB$126</f>
        <v>1.9400858444205915E-2</v>
      </c>
      <c r="AC131" s="16">
        <f t="shared" si="221"/>
        <v>1.6882642164367256E-2</v>
      </c>
    </row>
    <row r="132" spans="1:32" x14ac:dyDescent="0.35">
      <c r="A132" s="1" t="s">
        <v>11</v>
      </c>
      <c r="B132" s="16">
        <f t="shared" si="205"/>
        <v>8.1974160970434445E-2</v>
      </c>
      <c r="C132" s="16">
        <f t="shared" si="205"/>
        <v>0.23218781506008485</v>
      </c>
      <c r="D132" s="16">
        <f t="shared" si="205"/>
        <v>0.26458105808434479</v>
      </c>
      <c r="E132" s="16">
        <f t="shared" si="205"/>
        <v>0.21315582454774512</v>
      </c>
      <c r="F132" s="16">
        <f t="shared" si="205"/>
        <v>0.28714533517486962</v>
      </c>
      <c r="G132" s="90">
        <f t="shared" si="205"/>
        <v>0.26587370317320458</v>
      </c>
      <c r="H132" s="90">
        <f t="shared" si="205"/>
        <v>0.15329949051064964</v>
      </c>
      <c r="I132" s="90">
        <f t="shared" ref="I132" si="222">IFERROR(I121/I$126,"")</f>
        <v>0.17846240605136909</v>
      </c>
      <c r="J132" s="16"/>
      <c r="N132" s="16">
        <f t="shared" si="207"/>
        <v>0.21239743928314497</v>
      </c>
      <c r="O132" s="16">
        <f t="shared" si="207"/>
        <v>0.2067479841077989</v>
      </c>
      <c r="P132" s="16">
        <f t="shared" si="207"/>
        <v>0.25882571508020369</v>
      </c>
      <c r="Q132" s="16">
        <f t="shared" si="207"/>
        <v>0.28714533517486962</v>
      </c>
      <c r="R132" s="16">
        <f t="shared" si="207"/>
        <v>0.262997225756394</v>
      </c>
      <c r="S132" s="16">
        <f t="shared" si="207"/>
        <v>0.24272878853270033</v>
      </c>
      <c r="T132" s="16">
        <f t="shared" si="207"/>
        <v>0.22660271641615579</v>
      </c>
      <c r="U132" s="16">
        <f t="shared" si="207"/>
        <v>0.26587370317320458</v>
      </c>
      <c r="V132" s="16">
        <f t="shared" ref="V132:W132" si="223">V121/V$126</f>
        <v>0.24566095539787441</v>
      </c>
      <c r="W132" s="16">
        <f t="shared" si="223"/>
        <v>0.2144133887794491</v>
      </c>
      <c r="X132" s="16">
        <f t="shared" ref="X132:Y132" si="224">X121/X$126</f>
        <v>0.17088442081981897</v>
      </c>
      <c r="Y132" s="16">
        <f t="shared" si="224"/>
        <v>0.15329949051064964</v>
      </c>
      <c r="Z132" s="16">
        <f t="shared" ref="Z132:AA132" si="225">Z121/Z$126</f>
        <v>0.21660162511762379</v>
      </c>
      <c r="AA132" s="16">
        <f t="shared" si="225"/>
        <v>0.21721217000196449</v>
      </c>
      <c r="AB132" s="16">
        <f t="shared" ref="AB132:AC132" si="226">AB121/AB$126</f>
        <v>0.21365655129971878</v>
      </c>
      <c r="AC132" s="16">
        <f t="shared" si="226"/>
        <v>0.17846240605136909</v>
      </c>
    </row>
    <row r="133" spans="1:32" x14ac:dyDescent="0.35">
      <c r="A133" s="1" t="s">
        <v>12</v>
      </c>
      <c r="B133" s="16">
        <f t="shared" si="205"/>
        <v>0</v>
      </c>
      <c r="C133" s="16">
        <f t="shared" si="205"/>
        <v>0</v>
      </c>
      <c r="D133" s="16">
        <f t="shared" si="205"/>
        <v>0</v>
      </c>
      <c r="E133" s="16">
        <f t="shared" si="205"/>
        <v>0</v>
      </c>
      <c r="F133" s="16">
        <f t="shared" si="205"/>
        <v>6.2730753873444567E-2</v>
      </c>
      <c r="G133" s="90">
        <f t="shared" si="205"/>
        <v>3.7574528164533431E-2</v>
      </c>
      <c r="H133" s="90">
        <f t="shared" si="205"/>
        <v>5.8256210865423319E-2</v>
      </c>
      <c r="I133" s="90">
        <f t="shared" ref="I133" si="227">IFERROR(I122/I$126,"")</f>
        <v>3.1553892305776966E-2</v>
      </c>
      <c r="J133" s="16"/>
      <c r="N133" s="16">
        <f t="shared" si="207"/>
        <v>5.5670886841942158E-2</v>
      </c>
      <c r="O133" s="16">
        <f t="shared" si="207"/>
        <v>7.1392666523160633E-2</v>
      </c>
      <c r="P133" s="16">
        <f t="shared" si="207"/>
        <v>6.7899391399926554E-2</v>
      </c>
      <c r="Q133" s="16">
        <f t="shared" si="207"/>
        <v>6.2730753873444567E-2</v>
      </c>
      <c r="R133" s="16">
        <f t="shared" si="207"/>
        <v>6.0944860223541626E-2</v>
      </c>
      <c r="S133" s="16">
        <f t="shared" si="207"/>
        <v>5.9872293619776057E-2</v>
      </c>
      <c r="T133" s="16">
        <f t="shared" si="207"/>
        <v>5.4488721782039125E-2</v>
      </c>
      <c r="U133" s="16">
        <f t="shared" si="207"/>
        <v>3.7574528164533431E-2</v>
      </c>
      <c r="V133" s="16">
        <f t="shared" ref="V133:W133" si="228">V122/V$126</f>
        <v>3.4889882444554758E-2</v>
      </c>
      <c r="W133" s="16">
        <f t="shared" si="228"/>
        <v>3.2299638552073698E-2</v>
      </c>
      <c r="X133" s="16">
        <f t="shared" ref="X133:Y133" si="229">X122/X$126</f>
        <v>5.9780051940081874E-2</v>
      </c>
      <c r="Y133" s="16">
        <f t="shared" si="229"/>
        <v>5.8256210865423319E-2</v>
      </c>
      <c r="Z133" s="16">
        <f t="shared" ref="Z133:AA133" si="230">Z122/Z$126</f>
        <v>4.0622663191594507E-2</v>
      </c>
      <c r="AA133" s="16">
        <f t="shared" si="230"/>
        <v>3.80875122437737E-2</v>
      </c>
      <c r="AB133" s="16">
        <f t="shared" ref="AB133:AC133" si="231">AB122/AB$126</f>
        <v>3.3616560699291358E-2</v>
      </c>
      <c r="AC133" s="16">
        <f t="shared" si="231"/>
        <v>3.1553892305776966E-2</v>
      </c>
    </row>
    <row r="134" spans="1:32" x14ac:dyDescent="0.35">
      <c r="A134" s="1" t="s">
        <v>239</v>
      </c>
      <c r="B134" s="16">
        <f t="shared" ref="B134:F134" si="232">B124/B$126</f>
        <v>7.5621055449213506E-2</v>
      </c>
      <c r="C134" s="16">
        <f t="shared" si="232"/>
        <v>3.5430486750688994E-2</v>
      </c>
      <c r="D134" s="16">
        <f t="shared" si="232"/>
        <v>0.13169689760500264</v>
      </c>
      <c r="E134" s="16">
        <f t="shared" si="232"/>
        <v>0.1876578840644387</v>
      </c>
      <c r="F134" s="16">
        <f t="shared" si="232"/>
        <v>0.20045322737954191</v>
      </c>
      <c r="G134" s="16">
        <f t="shared" ref="G134" si="233">G124/G$126</f>
        <v>0.22822259315937088</v>
      </c>
      <c r="H134" s="16">
        <f t="shared" ref="H134" si="234">H124/H$126</f>
        <v>0.17739541682904966</v>
      </c>
      <c r="I134" s="16">
        <f>IFERROR(I124/I$126,"")</f>
        <v>0.13861153005020257</v>
      </c>
      <c r="J134" s="16"/>
      <c r="N134" s="16">
        <f t="shared" ref="N134:Z134" si="235">N124/N$126</f>
        <v>0.22035319280313193</v>
      </c>
      <c r="O134" s="16">
        <f t="shared" si="235"/>
        <v>0.21392338566136113</v>
      </c>
      <c r="P134" s="16">
        <f t="shared" si="235"/>
        <v>0.19510439596040091</v>
      </c>
      <c r="Q134" s="16">
        <f t="shared" si="235"/>
        <v>0.20045322737954191</v>
      </c>
      <c r="R134" s="16">
        <f t="shared" si="235"/>
        <v>0.21585441184585999</v>
      </c>
      <c r="S134" s="16">
        <f t="shared" si="235"/>
        <v>0.23190301787869344</v>
      </c>
      <c r="T134" s="16">
        <f t="shared" si="235"/>
        <v>0.24692801686477392</v>
      </c>
      <c r="U134" s="16">
        <f t="shared" si="235"/>
        <v>0.22822259315937088</v>
      </c>
      <c r="V134" s="16">
        <f t="shared" si="235"/>
        <v>0.21715248893409808</v>
      </c>
      <c r="W134" s="16">
        <f t="shared" si="235"/>
        <v>0.20081218192553796</v>
      </c>
      <c r="X134" s="16">
        <f t="shared" si="235"/>
        <v>0.18023449748875825</v>
      </c>
      <c r="Y134" s="16">
        <f t="shared" si="235"/>
        <v>0.17739541682904966</v>
      </c>
      <c r="Z134" s="16">
        <f t="shared" si="235"/>
        <v>0.15788582543787419</v>
      </c>
      <c r="AA134" s="16">
        <f t="shared" ref="AA134:AC135" si="236">AA124/AA$126</f>
        <v>0.15298280994778279</v>
      </c>
      <c r="AB134" s="16">
        <f t="shared" si="236"/>
        <v>0.1439987619129221</v>
      </c>
      <c r="AC134" s="16">
        <f t="shared" si="236"/>
        <v>0.13861153005020257</v>
      </c>
    </row>
    <row r="135" spans="1:32" x14ac:dyDescent="0.35">
      <c r="A135" s="1" t="s">
        <v>242</v>
      </c>
      <c r="B135" s="16">
        <f t="shared" ref="B135:F135" si="237">B125/B$126</f>
        <v>0</v>
      </c>
      <c r="C135" s="16">
        <f t="shared" si="237"/>
        <v>0</v>
      </c>
      <c r="D135" s="16">
        <f t="shared" si="237"/>
        <v>0</v>
      </c>
      <c r="E135" s="16">
        <f t="shared" si="237"/>
        <v>0</v>
      </c>
      <c r="F135" s="16">
        <f t="shared" si="237"/>
        <v>0</v>
      </c>
      <c r="G135" s="16">
        <f t="shared" ref="G135" si="238">G125/G$126</f>
        <v>0</v>
      </c>
      <c r="H135" s="16">
        <f t="shared" ref="H135" si="239">H125/H$126</f>
        <v>1.4374272424927855E-2</v>
      </c>
      <c r="I135" s="16">
        <f>IFERROR(I125/I$126,"")</f>
        <v>3.1166870277697399E-2</v>
      </c>
      <c r="J135" s="16"/>
      <c r="N135" s="16">
        <f t="shared" ref="N135:Z135" si="240">N125/N$126</f>
        <v>0</v>
      </c>
      <c r="O135" s="16">
        <f t="shared" si="240"/>
        <v>0</v>
      </c>
      <c r="P135" s="16">
        <f t="shared" si="240"/>
        <v>0</v>
      </c>
      <c r="Q135" s="16">
        <f t="shared" si="240"/>
        <v>0</v>
      </c>
      <c r="R135" s="16">
        <f t="shared" si="240"/>
        <v>0</v>
      </c>
      <c r="S135" s="16">
        <f t="shared" si="240"/>
        <v>0</v>
      </c>
      <c r="T135" s="16">
        <f t="shared" si="240"/>
        <v>0</v>
      </c>
      <c r="U135" s="16">
        <f t="shared" si="240"/>
        <v>0</v>
      </c>
      <c r="V135" s="16">
        <f t="shared" si="240"/>
        <v>1.5834707314179857E-3</v>
      </c>
      <c r="W135" s="16">
        <f t="shared" si="240"/>
        <v>4.6282243069665904E-3</v>
      </c>
      <c r="X135" s="16">
        <f t="shared" si="240"/>
        <v>9.3092210453006134E-3</v>
      </c>
      <c r="Y135" s="16">
        <f t="shared" si="240"/>
        <v>1.4374272424927855E-2</v>
      </c>
      <c r="Z135" s="16">
        <f t="shared" si="240"/>
        <v>1.7319703755913074E-2</v>
      </c>
      <c r="AA135" s="16">
        <f t="shared" si="236"/>
        <v>2.2510135028389066E-2</v>
      </c>
      <c r="AB135" s="16">
        <f t="shared" si="236"/>
        <v>2.6296261779309042E-2</v>
      </c>
      <c r="AC135" s="16">
        <f t="shared" si="236"/>
        <v>3.1166870277697399E-2</v>
      </c>
    </row>
    <row r="137" spans="1:32" s="5" customFormat="1" x14ac:dyDescent="0.35">
      <c r="A137" s="5" t="s">
        <v>139</v>
      </c>
      <c r="B137" s="22" t="str">
        <f t="shared" ref="B137:I137" si="241">B$1</f>
        <v>FY17</v>
      </c>
      <c r="C137" s="22" t="str">
        <f t="shared" si="241"/>
        <v>FY18</v>
      </c>
      <c r="D137" s="22" t="str">
        <f t="shared" si="241"/>
        <v>FY19</v>
      </c>
      <c r="E137" s="22" t="str">
        <f t="shared" si="241"/>
        <v>FY20</v>
      </c>
      <c r="F137" s="22" t="str">
        <f t="shared" si="241"/>
        <v>FY21</v>
      </c>
      <c r="G137" s="22" t="str">
        <f t="shared" si="241"/>
        <v>FY22</v>
      </c>
      <c r="H137" s="22" t="str">
        <f t="shared" si="241"/>
        <v>FY23</v>
      </c>
      <c r="I137" s="22" t="str">
        <f t="shared" si="241"/>
        <v>FY24</v>
      </c>
      <c r="J137" s="22" t="str">
        <f>J$1</f>
        <v>Yoy%</v>
      </c>
      <c r="N137" s="6" t="str">
        <f t="shared" ref="N137:AC137" si="242">N$1</f>
        <v>Q1FY21</v>
      </c>
      <c r="O137" s="6" t="str">
        <f t="shared" si="242"/>
        <v>Q2FY21</v>
      </c>
      <c r="P137" s="80" t="str">
        <f t="shared" si="242"/>
        <v>Q3FY21</v>
      </c>
      <c r="Q137" s="6" t="str">
        <f t="shared" si="242"/>
        <v>Q4FY21</v>
      </c>
      <c r="R137" s="6" t="str">
        <f t="shared" si="242"/>
        <v>Q1FY22</v>
      </c>
      <c r="S137" s="80" t="str">
        <f t="shared" si="242"/>
        <v>Q2FY22</v>
      </c>
      <c r="T137" s="80" t="str">
        <f t="shared" si="242"/>
        <v>Q3FY22</v>
      </c>
      <c r="U137" s="80" t="str">
        <f t="shared" si="242"/>
        <v>Q4FY22</v>
      </c>
      <c r="V137" s="80" t="str">
        <f t="shared" si="242"/>
        <v>Q1FY23</v>
      </c>
      <c r="W137" s="80" t="str">
        <f t="shared" si="242"/>
        <v>Q2FY23</v>
      </c>
      <c r="X137" s="80" t="str">
        <f t="shared" si="242"/>
        <v>Q3FY23</v>
      </c>
      <c r="Y137" s="80" t="str">
        <f t="shared" si="242"/>
        <v>Q4FY23</v>
      </c>
      <c r="Z137" s="80" t="str">
        <f t="shared" si="242"/>
        <v>Q1FY24</v>
      </c>
      <c r="AA137" s="80" t="str">
        <f t="shared" si="242"/>
        <v>Q2FY24</v>
      </c>
      <c r="AB137" s="80" t="str">
        <f t="shared" si="242"/>
        <v>Q3FY24</v>
      </c>
      <c r="AC137" s="80" t="str">
        <f t="shared" si="242"/>
        <v>Q4FY24</v>
      </c>
      <c r="AD137" s="6"/>
      <c r="AE137" s="6"/>
      <c r="AF137" s="6"/>
    </row>
    <row r="138" spans="1:32" x14ac:dyDescent="0.35">
      <c r="A138" s="1" t="s">
        <v>113</v>
      </c>
      <c r="B138" s="11">
        <f t="shared" ref="B138:G138" si="243">SUM(B139:B140)</f>
        <v>0.68520000000000003</v>
      </c>
      <c r="C138" s="11">
        <f t="shared" si="243"/>
        <v>0.43019999999999997</v>
      </c>
      <c r="D138" s="11">
        <f t="shared" si="243"/>
        <v>0.38479999999999998</v>
      </c>
      <c r="E138" s="11">
        <f t="shared" si="243"/>
        <v>0.48970000000000002</v>
      </c>
      <c r="F138" s="11">
        <f t="shared" si="243"/>
        <v>0.56190000000000007</v>
      </c>
      <c r="G138" s="11">
        <f t="shared" si="243"/>
        <v>0.58610000000000007</v>
      </c>
      <c r="H138" s="11">
        <f>SUM(H139:H140)</f>
        <v>0.49380000000000002</v>
      </c>
      <c r="I138" s="11">
        <f>SUM(I139:I140)</f>
        <v>0.39479999999999998</v>
      </c>
      <c r="J138" s="11"/>
      <c r="N138" s="11">
        <f>N139+N140</f>
        <v>0.46929999999999999</v>
      </c>
      <c r="O138" s="11">
        <f>O139+O140</f>
        <v>0.51690000000000003</v>
      </c>
      <c r="P138" s="11">
        <f>P139+P140</f>
        <v>0.52310000000000001</v>
      </c>
      <c r="Q138" s="11">
        <f>F138</f>
        <v>0.56190000000000007</v>
      </c>
      <c r="R138" s="11">
        <f t="shared" ref="R138:W138" si="244">R139+R140</f>
        <v>0.56369999999999998</v>
      </c>
      <c r="S138" s="11">
        <f t="shared" si="244"/>
        <v>0.5636000000000001</v>
      </c>
      <c r="T138" s="11">
        <f t="shared" si="244"/>
        <v>0.58979999999999999</v>
      </c>
      <c r="U138" s="11">
        <f t="shared" si="244"/>
        <v>0.58610000000000007</v>
      </c>
      <c r="V138" s="11">
        <f t="shared" si="244"/>
        <v>0.52310000000000001</v>
      </c>
      <c r="W138" s="11">
        <f t="shared" si="244"/>
        <v>0.50700000000000001</v>
      </c>
      <c r="X138" s="11">
        <f t="shared" ref="X138:AB138" si="245">X139+X140</f>
        <v>0.49630000000000002</v>
      </c>
      <c r="Y138" s="11">
        <f t="shared" si="245"/>
        <v>0.49380000000000002</v>
      </c>
      <c r="Z138" s="11">
        <f t="shared" si="245"/>
        <v>0.45989999999999998</v>
      </c>
      <c r="AA138" s="11">
        <f t="shared" si="245"/>
        <v>0.45489999999999997</v>
      </c>
      <c r="AB138" s="11">
        <f t="shared" si="245"/>
        <v>0.40870000000000001</v>
      </c>
      <c r="AC138" s="11">
        <f>AC139+AC140</f>
        <v>0.39479999999999998</v>
      </c>
    </row>
    <row r="139" spans="1:32" x14ac:dyDescent="0.35">
      <c r="A139" s="1" t="s">
        <v>114</v>
      </c>
      <c r="B139" s="30">
        <v>0.67490000000000006</v>
      </c>
      <c r="C139" s="30">
        <v>0.42249999999999999</v>
      </c>
      <c r="D139" s="30">
        <v>0.37709999999999999</v>
      </c>
      <c r="E139" s="30">
        <v>0.47720000000000001</v>
      </c>
      <c r="F139" s="30">
        <v>0.55230000000000001</v>
      </c>
      <c r="G139" s="38">
        <v>0.58050000000000002</v>
      </c>
      <c r="H139" s="38">
        <f>Y139</f>
        <v>0.4889</v>
      </c>
      <c r="I139" s="38">
        <f>AC139</f>
        <v>0.39079999999999998</v>
      </c>
      <c r="J139" s="30"/>
      <c r="N139" s="30">
        <v>0.45639999999999997</v>
      </c>
      <c r="O139" s="30">
        <v>0.504</v>
      </c>
      <c r="P139" s="30">
        <v>0.51019999999999999</v>
      </c>
      <c r="Q139" s="30">
        <f>F139</f>
        <v>0.55230000000000001</v>
      </c>
      <c r="R139" s="38">
        <v>0.55230000000000001</v>
      </c>
      <c r="S139" s="38">
        <v>0.55200000000000005</v>
      </c>
      <c r="T139" s="38">
        <v>0.57830000000000004</v>
      </c>
      <c r="U139" s="38">
        <f>G139</f>
        <v>0.58050000000000002</v>
      </c>
      <c r="V139" s="38">
        <v>0.51790000000000003</v>
      </c>
      <c r="W139" s="38">
        <v>0.502</v>
      </c>
      <c r="X139" s="38">
        <v>0.4914</v>
      </c>
      <c r="Y139" s="38">
        <v>0.4889</v>
      </c>
      <c r="Z139" s="38">
        <v>0.45519999999999999</v>
      </c>
      <c r="AA139" s="38">
        <v>0.45019999999999999</v>
      </c>
      <c r="AB139" s="38">
        <v>0.40439999999999998</v>
      </c>
      <c r="AC139" s="38">
        <v>0.39079999999999998</v>
      </c>
    </row>
    <row r="140" spans="1:32" x14ac:dyDescent="0.35">
      <c r="A140" s="1" t="s">
        <v>115</v>
      </c>
      <c r="B140" s="30">
        <v>1.03E-2</v>
      </c>
      <c r="C140" s="30">
        <v>7.7000000000000002E-3</v>
      </c>
      <c r="D140" s="30">
        <v>7.7000000000000002E-3</v>
      </c>
      <c r="E140" s="30">
        <v>1.2500000000000001E-2</v>
      </c>
      <c r="F140" s="30">
        <v>9.5999999999999992E-3</v>
      </c>
      <c r="G140" s="38">
        <v>5.5999999999999999E-3</v>
      </c>
      <c r="H140" s="38">
        <f>Y140</f>
        <v>4.8999999999999998E-3</v>
      </c>
      <c r="I140" s="38">
        <f>AC140</f>
        <v>4.0000000000000001E-3</v>
      </c>
      <c r="J140" s="30"/>
      <c r="N140" s="30">
        <v>1.29E-2</v>
      </c>
      <c r="O140" s="30">
        <v>1.29E-2</v>
      </c>
      <c r="P140" s="30">
        <v>1.29E-2</v>
      </c>
      <c r="Q140" s="30">
        <f>F140</f>
        <v>9.5999999999999992E-3</v>
      </c>
      <c r="R140" s="38">
        <v>1.14E-2</v>
      </c>
      <c r="S140" s="38">
        <v>1.1599999999999999E-2</v>
      </c>
      <c r="T140" s="38">
        <v>1.15E-2</v>
      </c>
      <c r="U140" s="38">
        <f>G140</f>
        <v>5.5999999999999999E-3</v>
      </c>
      <c r="V140" s="38">
        <v>5.1999999999999998E-3</v>
      </c>
      <c r="W140" s="38">
        <v>5.0000000000000001E-3</v>
      </c>
      <c r="X140" s="38">
        <v>4.8999999999999998E-3</v>
      </c>
      <c r="Y140" s="38">
        <v>4.8999999999999998E-3</v>
      </c>
      <c r="Z140" s="38">
        <v>4.7000000000000002E-3</v>
      </c>
      <c r="AA140" s="38">
        <v>4.7000000000000002E-3</v>
      </c>
      <c r="AB140" s="38">
        <v>4.3E-3</v>
      </c>
      <c r="AC140" s="38">
        <v>4.0000000000000001E-3</v>
      </c>
    </row>
    <row r="142" spans="1:32" s="5" customFormat="1" x14ac:dyDescent="0.35">
      <c r="A142" s="5" t="s">
        <v>124</v>
      </c>
      <c r="B142" s="22" t="str">
        <f t="shared" ref="B142:I142" si="246">B$1</f>
        <v>FY17</v>
      </c>
      <c r="C142" s="22" t="str">
        <f t="shared" si="246"/>
        <v>FY18</v>
      </c>
      <c r="D142" s="22" t="str">
        <f t="shared" si="246"/>
        <v>FY19</v>
      </c>
      <c r="E142" s="22" t="str">
        <f t="shared" si="246"/>
        <v>FY20</v>
      </c>
      <c r="F142" s="22" t="str">
        <f t="shared" si="246"/>
        <v>FY21</v>
      </c>
      <c r="G142" s="22" t="str">
        <f t="shared" si="246"/>
        <v>FY22</v>
      </c>
      <c r="H142" s="22" t="str">
        <f t="shared" si="246"/>
        <v>FY23</v>
      </c>
      <c r="I142" s="22" t="str">
        <f t="shared" si="246"/>
        <v>FY24</v>
      </c>
      <c r="J142" s="22" t="str">
        <f>J$1</f>
        <v>Yoy%</v>
      </c>
      <c r="N142" s="6" t="str">
        <f t="shared" ref="N142:AE142" si="247">N$1</f>
        <v>Q1FY21</v>
      </c>
      <c r="O142" s="6" t="str">
        <f t="shared" si="247"/>
        <v>Q2FY21</v>
      </c>
      <c r="P142" s="80" t="str">
        <f t="shared" si="247"/>
        <v>Q3FY21</v>
      </c>
      <c r="Q142" s="6" t="str">
        <f t="shared" si="247"/>
        <v>Q4FY21</v>
      </c>
      <c r="R142" s="6" t="str">
        <f t="shared" si="247"/>
        <v>Q1FY22</v>
      </c>
      <c r="S142" s="80" t="str">
        <f t="shared" si="247"/>
        <v>Q2FY22</v>
      </c>
      <c r="T142" s="80" t="str">
        <f t="shared" si="247"/>
        <v>Q3FY22</v>
      </c>
      <c r="U142" s="80" t="str">
        <f t="shared" si="247"/>
        <v>Q4FY22</v>
      </c>
      <c r="V142" s="80" t="str">
        <f t="shared" si="247"/>
        <v>Q1FY23</v>
      </c>
      <c r="W142" s="80" t="str">
        <f t="shared" si="247"/>
        <v>Q2FY23</v>
      </c>
      <c r="X142" s="80" t="str">
        <f t="shared" si="247"/>
        <v>Q3FY23</v>
      </c>
      <c r="Y142" s="80" t="str">
        <f t="shared" si="247"/>
        <v>Q4FY23</v>
      </c>
      <c r="Z142" s="80" t="str">
        <f t="shared" si="247"/>
        <v>Q1FY24</v>
      </c>
      <c r="AA142" s="80" t="str">
        <f t="shared" si="247"/>
        <v>Q2FY24</v>
      </c>
      <c r="AB142" s="80" t="str">
        <f t="shared" si="247"/>
        <v>Q3FY24</v>
      </c>
      <c r="AC142" s="80" t="str">
        <f t="shared" si="247"/>
        <v>Q4FY24</v>
      </c>
      <c r="AD142" s="6" t="str">
        <f t="shared" si="247"/>
        <v>y-o-y</v>
      </c>
      <c r="AE142" s="6" t="str">
        <f t="shared" si="247"/>
        <v>q-o-q</v>
      </c>
      <c r="AF142" s="6"/>
    </row>
    <row r="143" spans="1:32" x14ac:dyDescent="0.35">
      <c r="A143" s="1" t="s">
        <v>146</v>
      </c>
      <c r="B143" s="30">
        <v>0.10199999999999999</v>
      </c>
      <c r="C143" s="30">
        <v>8.7999999999999995E-2</v>
      </c>
      <c r="D143" s="30">
        <v>8.4000000000000005E-2</v>
      </c>
      <c r="E143" s="30">
        <v>8.7999999999999995E-2</v>
      </c>
      <c r="F143" s="30">
        <v>0.08</v>
      </c>
      <c r="G143" s="30">
        <v>7.1499999999999994E-2</v>
      </c>
      <c r="H143" s="30">
        <f>H20</f>
        <v>7.3999999999999996E-2</v>
      </c>
      <c r="I143" s="30">
        <f>I20</f>
        <v>8.2000000000000003E-2</v>
      </c>
      <c r="J143" s="30"/>
      <c r="N143" s="30">
        <f t="shared" ref="N143:T143" si="248">N20</f>
        <v>8.5000000000000006E-2</v>
      </c>
      <c r="O143" s="30">
        <f t="shared" si="248"/>
        <v>8.2699999999999996E-2</v>
      </c>
      <c r="P143" s="30">
        <f t="shared" si="248"/>
        <v>8.0299999999999996E-2</v>
      </c>
      <c r="Q143" s="30">
        <f t="shared" si="248"/>
        <v>7.4200000000000002E-2</v>
      </c>
      <c r="R143" s="30">
        <f t="shared" si="248"/>
        <v>7.17E-2</v>
      </c>
      <c r="S143" s="30">
        <f t="shared" si="248"/>
        <v>7.1300000000000002E-2</v>
      </c>
      <c r="T143" s="30">
        <f t="shared" si="248"/>
        <v>7.1599999999999997E-2</v>
      </c>
      <c r="U143" s="30">
        <v>7.1499999999999994E-2</v>
      </c>
      <c r="V143" s="30">
        <v>6.93E-2</v>
      </c>
      <c r="W143" s="30">
        <f t="shared" ref="W143:AB143" si="249">W20</f>
        <v>7.1326876000869593E-2</v>
      </c>
      <c r="X143" s="30">
        <f t="shared" si="249"/>
        <v>7.3999999999999996E-2</v>
      </c>
      <c r="Y143" s="30">
        <f t="shared" si="249"/>
        <v>7.9000000000000001E-2</v>
      </c>
      <c r="Z143" s="30">
        <f t="shared" si="249"/>
        <v>0.08</v>
      </c>
      <c r="AA143" s="30">
        <f t="shared" si="249"/>
        <v>8.1000000000000003E-2</v>
      </c>
      <c r="AB143" s="30">
        <f t="shared" si="249"/>
        <v>8.2000000000000003E-2</v>
      </c>
      <c r="AC143" s="30">
        <f t="shared" ref="AC143" si="250">AC20</f>
        <v>8.3000000000000004E-2</v>
      </c>
    </row>
    <row r="144" spans="1:32" s="2" customFormat="1" x14ac:dyDescent="0.35">
      <c r="A144" s="2" t="s">
        <v>84</v>
      </c>
      <c r="B144" s="31">
        <v>9.7000000000000003E-2</v>
      </c>
      <c r="C144" s="31">
        <v>7.4999999999999997E-2</v>
      </c>
      <c r="D144" s="31">
        <v>8.6999999999999994E-2</v>
      </c>
      <c r="E144" s="31">
        <v>8.7999999999999995E-2</v>
      </c>
      <c r="F144" s="31">
        <v>6.6000000000000003E-2</v>
      </c>
      <c r="G144" s="31">
        <v>6.8099999999999994E-2</v>
      </c>
      <c r="H144" s="31">
        <v>8.2460000000000006E-2</v>
      </c>
      <c r="I144" s="31">
        <v>8.2299999999999998E-2</v>
      </c>
      <c r="J144" s="31"/>
      <c r="N144" s="31">
        <v>8.09E-2</v>
      </c>
      <c r="O144" s="31">
        <v>7.9000000000000001E-2</v>
      </c>
      <c r="P144" s="31">
        <v>5.8200000000000002E-2</v>
      </c>
      <c r="Q144" s="31">
        <v>5.57E-2</v>
      </c>
      <c r="R144" s="48">
        <v>7.5999999999999998E-2</v>
      </c>
      <c r="S144" s="48">
        <v>7.9299999999999995E-2</v>
      </c>
      <c r="T144" s="48">
        <v>7.6100000000000001E-2</v>
      </c>
      <c r="U144" s="48">
        <v>5.7700000000000001E-2</v>
      </c>
      <c r="V144" s="48">
        <v>7.6600000000000001E-2</v>
      </c>
      <c r="W144" s="48">
        <v>7.9699999999999993E-2</v>
      </c>
      <c r="X144" s="48">
        <v>8.5000000000000006E-2</v>
      </c>
      <c r="Y144" s="48">
        <v>8.7800000000000003E-2</v>
      </c>
      <c r="Z144" s="48">
        <v>7.6399999999999996E-2</v>
      </c>
      <c r="AA144" s="48">
        <v>8.14E-2</v>
      </c>
      <c r="AB144" s="48">
        <v>8.43E-2</v>
      </c>
      <c r="AC144" s="48">
        <v>8.7400000000000005E-2</v>
      </c>
      <c r="AD144" s="70"/>
      <c r="AE144" s="70"/>
      <c r="AF144" s="70"/>
    </row>
    <row r="145" spans="1:33" x14ac:dyDescent="0.35">
      <c r="A145" s="1" t="s">
        <v>124</v>
      </c>
      <c r="B145" s="3">
        <f t="shared" ref="B145:H145" si="251">B117</f>
        <v>6630.4499999999989</v>
      </c>
      <c r="C145" s="3">
        <f t="shared" si="251"/>
        <v>10198.76</v>
      </c>
      <c r="D145" s="3">
        <f t="shared" si="251"/>
        <v>19256.41</v>
      </c>
      <c r="E145" s="3">
        <f t="shared" si="251"/>
        <v>24938.05</v>
      </c>
      <c r="F145" s="3">
        <f t="shared" si="251"/>
        <v>30536.89</v>
      </c>
      <c r="G145" s="3">
        <f t="shared" si="251"/>
        <v>34667.67</v>
      </c>
      <c r="H145" s="3">
        <f t="shared" si="251"/>
        <v>48134.729999999996</v>
      </c>
      <c r="I145" s="3">
        <f t="shared" ref="I145" si="252">I117</f>
        <v>73021.01999999999</v>
      </c>
      <c r="J145" s="30">
        <f>I145/H145-1</f>
        <v>0.51701318362022586</v>
      </c>
      <c r="N145" s="3">
        <f t="shared" ref="N145:AB145" si="253">N117</f>
        <v>26540.76</v>
      </c>
      <c r="O145" s="3">
        <f t="shared" si="253"/>
        <v>26365.78</v>
      </c>
      <c r="P145" s="3">
        <f t="shared" si="253"/>
        <v>28393.51</v>
      </c>
      <c r="Q145" s="3">
        <f t="shared" si="253"/>
        <v>30536.89</v>
      </c>
      <c r="R145" s="3">
        <f t="shared" si="253"/>
        <v>30834.510000000002</v>
      </c>
      <c r="S145" s="3">
        <f t="shared" si="253"/>
        <v>30753.62</v>
      </c>
      <c r="T145" s="3">
        <f t="shared" si="253"/>
        <v>30235.810000000005</v>
      </c>
      <c r="U145" s="3">
        <f t="shared" si="253"/>
        <v>34667.67</v>
      </c>
      <c r="V145" s="3">
        <f t="shared" si="253"/>
        <v>37803.32</v>
      </c>
      <c r="W145" s="3">
        <f t="shared" si="253"/>
        <v>41540.679999999993</v>
      </c>
      <c r="X145" s="3">
        <f t="shared" si="253"/>
        <v>47013.88</v>
      </c>
      <c r="Y145" s="3">
        <f t="shared" si="253"/>
        <v>48134.729999999996</v>
      </c>
      <c r="Z145" s="3">
        <f t="shared" si="253"/>
        <v>56263.66</v>
      </c>
      <c r="AA145" s="3">
        <f t="shared" si="253"/>
        <v>60017.600000000006</v>
      </c>
      <c r="AB145" s="3">
        <f t="shared" si="253"/>
        <v>68462.600000000006</v>
      </c>
      <c r="AC145" s="3">
        <f>AC117</f>
        <v>73021.01999999999</v>
      </c>
      <c r="AD145" s="69">
        <f>IFERROR(AC145/Y145-1,"")</f>
        <v>0.51701318362022586</v>
      </c>
      <c r="AE145" s="69">
        <f>IFERROR(AC145/AB145-1,"")</f>
        <v>6.6582630516515362E-2</v>
      </c>
      <c r="AF145" s="75"/>
    </row>
    <row r="146" spans="1:33" x14ac:dyDescent="0.35">
      <c r="A146" s="1" t="s">
        <v>181</v>
      </c>
      <c r="B146" s="58">
        <v>5458.96</v>
      </c>
      <c r="C146" s="32">
        <f t="shared" ref="C146:I146" si="254">AVERAGE(B145:C145)</f>
        <v>8414.6049999999996</v>
      </c>
      <c r="D146" s="32">
        <f t="shared" si="254"/>
        <v>14727.584999999999</v>
      </c>
      <c r="E146" s="32">
        <f t="shared" si="254"/>
        <v>22097.23</v>
      </c>
      <c r="F146" s="32">
        <f t="shared" si="254"/>
        <v>27737.47</v>
      </c>
      <c r="G146" s="32">
        <f t="shared" si="254"/>
        <v>32602.28</v>
      </c>
      <c r="H146" s="32">
        <f t="shared" si="254"/>
        <v>41401.199999999997</v>
      </c>
      <c r="I146" s="32">
        <f t="shared" si="254"/>
        <v>60577.874999999993</v>
      </c>
      <c r="J146" s="30">
        <f>I146/H146-1</f>
        <v>0.46319128431059964</v>
      </c>
      <c r="N146" s="55">
        <f>AVERAGE(N145,E145)</f>
        <v>25739.404999999999</v>
      </c>
      <c r="O146" s="55">
        <f t="shared" ref="O146:AC146" si="255">AVERAGE(N145:O145)</f>
        <v>26453.269999999997</v>
      </c>
      <c r="P146" s="55">
        <f t="shared" si="255"/>
        <v>27379.644999999997</v>
      </c>
      <c r="Q146" s="55">
        <f t="shared" si="255"/>
        <v>29465.199999999997</v>
      </c>
      <c r="R146" s="55">
        <f t="shared" si="255"/>
        <v>30685.7</v>
      </c>
      <c r="S146" s="55">
        <f t="shared" si="255"/>
        <v>30794.065000000002</v>
      </c>
      <c r="T146" s="55">
        <f t="shared" si="255"/>
        <v>30494.715000000004</v>
      </c>
      <c r="U146" s="55">
        <f t="shared" si="255"/>
        <v>32451.74</v>
      </c>
      <c r="V146" s="55">
        <f t="shared" si="255"/>
        <v>36235.494999999995</v>
      </c>
      <c r="W146" s="55">
        <f t="shared" si="255"/>
        <v>39672</v>
      </c>
      <c r="X146" s="55">
        <f t="shared" si="255"/>
        <v>44277.279999999999</v>
      </c>
      <c r="Y146" s="55">
        <f t="shared" si="255"/>
        <v>47574.304999999993</v>
      </c>
      <c r="Z146" s="55">
        <f t="shared" si="255"/>
        <v>52199.195</v>
      </c>
      <c r="AA146" s="55">
        <f t="shared" si="255"/>
        <v>58140.630000000005</v>
      </c>
      <c r="AB146" s="55">
        <f t="shared" si="255"/>
        <v>64240.100000000006</v>
      </c>
      <c r="AC146" s="55">
        <f t="shared" si="255"/>
        <v>70741.81</v>
      </c>
      <c r="AD146" s="69">
        <f>IFERROR(AC146/Y146-1,"")</f>
        <v>0.48697516442962252</v>
      </c>
      <c r="AE146" s="69">
        <f>IFERROR(AC146/AB146-1,"")</f>
        <v>0.10120952489177304</v>
      </c>
      <c r="AF146" s="75"/>
    </row>
    <row r="147" spans="1:33" x14ac:dyDescent="0.35">
      <c r="A147" s="1" t="s">
        <v>90</v>
      </c>
      <c r="B147" s="19">
        <f t="shared" ref="B147:G147" si="256">B145/B154</f>
        <v>2.1642816574073467</v>
      </c>
      <c r="C147" s="19">
        <f t="shared" si="256"/>
        <v>3.1360054118044984</v>
      </c>
      <c r="D147" s="19">
        <f t="shared" si="256"/>
        <v>3.6843020619483764</v>
      </c>
      <c r="E147" s="19">
        <f t="shared" si="256"/>
        <v>2.671668670039189</v>
      </c>
      <c r="F147" s="19">
        <f t="shared" si="256"/>
        <v>2.2119477625832733</v>
      </c>
      <c r="G147" s="19">
        <f t="shared" si="256"/>
        <v>2.2029612025278245</v>
      </c>
      <c r="H147" s="19">
        <f t="shared" ref="H147:I147" si="257">H145/H154</f>
        <v>2.6486379261106481</v>
      </c>
      <c r="I147" s="19">
        <f t="shared" si="257"/>
        <v>3.4419767285651308</v>
      </c>
      <c r="J147" s="19"/>
      <c r="N147" s="19">
        <f t="shared" ref="N147:U147" si="258">N145/N154</f>
        <v>2.7287453888196613</v>
      </c>
      <c r="O147" s="19">
        <f t="shared" si="258"/>
        <v>2.6686687416179558</v>
      </c>
      <c r="P147" s="19">
        <f t="shared" si="258"/>
        <v>2.6000097064797156</v>
      </c>
      <c r="Q147" s="19">
        <f t="shared" si="258"/>
        <v>2.2119477625832733</v>
      </c>
      <c r="R147" s="19">
        <f t="shared" si="258"/>
        <v>2.1756362964133715</v>
      </c>
      <c r="S147" s="19">
        <f t="shared" si="258"/>
        <v>2.1025413485309241</v>
      </c>
      <c r="T147" s="19">
        <f>T145/T154</f>
        <v>2.0023396979120864</v>
      </c>
      <c r="U147" s="19">
        <f t="shared" si="258"/>
        <v>2.2029612025278245</v>
      </c>
      <c r="V147" s="19">
        <f t="shared" ref="V147:W147" si="259">V145/V154</f>
        <v>2.3221839389012122</v>
      </c>
      <c r="W147" s="19">
        <f t="shared" si="259"/>
        <v>2.4644169293298179</v>
      </c>
      <c r="X147" s="19">
        <f t="shared" ref="X147:Y147" si="260">X145/X154</f>
        <v>2.6890735730668696</v>
      </c>
      <c r="Y147" s="19">
        <f t="shared" si="260"/>
        <v>2.6486379261106481</v>
      </c>
      <c r="Z147" s="19">
        <f t="shared" ref="Z147:AA147" si="261">Z145/Z154</f>
        <v>3.0120183814318415</v>
      </c>
      <c r="AA147" s="19">
        <f t="shared" si="261"/>
        <v>3.0829924201174066</v>
      </c>
      <c r="AB147" s="19">
        <f t="shared" ref="AB147:AC147" si="262">AB145/AB154</f>
        <v>3.3695474563491357</v>
      </c>
      <c r="AC147" s="19">
        <f t="shared" si="262"/>
        <v>3.4419767285651308</v>
      </c>
    </row>
    <row r="148" spans="1:33" x14ac:dyDescent="0.35">
      <c r="A148" s="1" t="s">
        <v>91</v>
      </c>
      <c r="B148" s="11">
        <f t="shared" ref="B148:G148" si="263">B138</f>
        <v>0.68520000000000003</v>
      </c>
      <c r="C148" s="11">
        <f t="shared" si="263"/>
        <v>0.43019999999999997</v>
      </c>
      <c r="D148" s="11">
        <f t="shared" si="263"/>
        <v>0.38479999999999998</v>
      </c>
      <c r="E148" s="11">
        <f t="shared" si="263"/>
        <v>0.48970000000000002</v>
      </c>
      <c r="F148" s="11">
        <f t="shared" si="263"/>
        <v>0.56190000000000007</v>
      </c>
      <c r="G148" s="11">
        <f t="shared" si="263"/>
        <v>0.58610000000000007</v>
      </c>
      <c r="H148" s="11">
        <f t="shared" ref="H148:I148" si="264">H138</f>
        <v>0.49380000000000002</v>
      </c>
      <c r="I148" s="11">
        <f t="shared" si="264"/>
        <v>0.39479999999999998</v>
      </c>
      <c r="J148" s="11"/>
      <c r="N148" s="11">
        <f t="shared" ref="N148:U148" si="265">N138</f>
        <v>0.46929999999999999</v>
      </c>
      <c r="O148" s="11">
        <f t="shared" si="265"/>
        <v>0.51690000000000003</v>
      </c>
      <c r="P148" s="11">
        <f t="shared" si="265"/>
        <v>0.52310000000000001</v>
      </c>
      <c r="Q148" s="11">
        <f t="shared" si="265"/>
        <v>0.56190000000000007</v>
      </c>
      <c r="R148" s="11">
        <f t="shared" si="265"/>
        <v>0.56369999999999998</v>
      </c>
      <c r="S148" s="11">
        <f t="shared" si="265"/>
        <v>0.5636000000000001</v>
      </c>
      <c r="T148" s="11">
        <f>T138</f>
        <v>0.58979999999999999</v>
      </c>
      <c r="U148" s="11">
        <f t="shared" si="265"/>
        <v>0.58610000000000007</v>
      </c>
      <c r="V148" s="11">
        <f t="shared" ref="V148:W148" si="266">V138</f>
        <v>0.52310000000000001</v>
      </c>
      <c r="W148" s="11">
        <f t="shared" si="266"/>
        <v>0.50700000000000001</v>
      </c>
      <c r="X148" s="11">
        <f t="shared" ref="X148:Y148" si="267">X138</f>
        <v>0.49630000000000002</v>
      </c>
      <c r="Y148" s="11">
        <f t="shared" si="267"/>
        <v>0.49380000000000002</v>
      </c>
      <c r="Z148" s="11">
        <f t="shared" ref="Z148:AA148" si="268">Z138</f>
        <v>0.45989999999999998</v>
      </c>
      <c r="AA148" s="11">
        <f t="shared" si="268"/>
        <v>0.45489999999999997</v>
      </c>
      <c r="AB148" s="11">
        <f t="shared" ref="AB148:AC148" si="269">AB138</f>
        <v>0.40870000000000001</v>
      </c>
      <c r="AC148" s="11">
        <f t="shared" si="269"/>
        <v>0.39479999999999998</v>
      </c>
    </row>
    <row r="149" spans="1:33" x14ac:dyDescent="0.35">
      <c r="A149" s="1" t="s">
        <v>92</v>
      </c>
      <c r="B149" s="19">
        <f t="shared" ref="B149:G149" si="270">B146/B155</f>
        <v>2.3723726725349894</v>
      </c>
      <c r="C149" s="19">
        <f t="shared" si="270"/>
        <v>2.6646500087875826</v>
      </c>
      <c r="D149" s="19">
        <f t="shared" si="270"/>
        <v>3.4739950181394454</v>
      </c>
      <c r="E149" s="19">
        <f t="shared" si="270"/>
        <v>3.0351524325126178</v>
      </c>
      <c r="F149" s="19">
        <f t="shared" si="270"/>
        <v>2.3973933963678857</v>
      </c>
      <c r="G149" s="19">
        <f t="shared" si="270"/>
        <v>2.2071607201610708</v>
      </c>
      <c r="H149" s="19">
        <f t="shared" ref="H149:I149" si="271">H146/H155</f>
        <v>2.441811087152435</v>
      </c>
      <c r="I149" s="19">
        <f t="shared" si="271"/>
        <v>3.0759371325045235</v>
      </c>
      <c r="J149" s="19"/>
      <c r="N149" s="19">
        <f t="shared" ref="N149:U149" si="272">N146/N155</f>
        <v>2.700794097988418</v>
      </c>
      <c r="O149" s="19">
        <f t="shared" si="272"/>
        <v>2.6984720579452013</v>
      </c>
      <c r="P149" s="19">
        <f t="shared" si="272"/>
        <v>2.6326214682583746</v>
      </c>
      <c r="Q149" s="19">
        <f t="shared" si="272"/>
        <v>2.3833402693605139</v>
      </c>
      <c r="R149" s="19">
        <f t="shared" si="272"/>
        <v>2.1935537369089433</v>
      </c>
      <c r="S149" s="19">
        <f t="shared" si="272"/>
        <v>2.1385123779840778</v>
      </c>
      <c r="T149" s="19">
        <f>T146/T155</f>
        <v>2.0516427423847321</v>
      </c>
      <c r="U149" s="19">
        <f t="shared" si="272"/>
        <v>2.1047212950378911</v>
      </c>
      <c r="V149" s="19">
        <f t="shared" ref="V149:W149" si="273">V146/V155</f>
        <v>2.2635824020819548</v>
      </c>
      <c r="W149" s="19">
        <f t="shared" si="273"/>
        <v>2.3945387712235253</v>
      </c>
      <c r="X149" s="19">
        <f t="shared" ref="X149:Y149" si="274">X146/X155</f>
        <v>2.5787965983187284</v>
      </c>
      <c r="Y149" s="19">
        <f t="shared" si="274"/>
        <v>2.6684644592641655</v>
      </c>
      <c r="Z149" s="19">
        <f t="shared" ref="Z149:AA149" si="275">Z146/Z155</f>
        <v>2.8328244210597151</v>
      </c>
      <c r="AA149" s="19">
        <f t="shared" si="275"/>
        <v>3.0482380808576495</v>
      </c>
      <c r="AB149" s="19">
        <f t="shared" ref="AB149:AC149" si="276">AB146/AB155</f>
        <v>3.2293336041197058</v>
      </c>
      <c r="AC149" s="19">
        <f t="shared" si="276"/>
        <v>3.4065440666421227</v>
      </c>
    </row>
    <row r="151" spans="1:33" s="5" customFormat="1" x14ac:dyDescent="0.35">
      <c r="A151" s="5" t="s">
        <v>130</v>
      </c>
      <c r="B151" s="22" t="str">
        <f t="shared" ref="B151:I151" si="277">B$1</f>
        <v>FY17</v>
      </c>
      <c r="C151" s="22" t="str">
        <f t="shared" si="277"/>
        <v>FY18</v>
      </c>
      <c r="D151" s="22" t="str">
        <f t="shared" si="277"/>
        <v>FY19</v>
      </c>
      <c r="E151" s="22" t="str">
        <f t="shared" si="277"/>
        <v>FY20</v>
      </c>
      <c r="F151" s="22" t="str">
        <f t="shared" si="277"/>
        <v>FY21</v>
      </c>
      <c r="G151" s="22" t="str">
        <f t="shared" si="277"/>
        <v>FY22</v>
      </c>
      <c r="H151" s="22" t="str">
        <f t="shared" si="277"/>
        <v>FY23</v>
      </c>
      <c r="I151" s="22" t="str">
        <f t="shared" si="277"/>
        <v>FY24</v>
      </c>
      <c r="J151" s="22"/>
      <c r="N151" s="6" t="str">
        <f t="shared" ref="N151:AE151" si="278">N$1</f>
        <v>Q1FY21</v>
      </c>
      <c r="O151" s="6" t="str">
        <f t="shared" si="278"/>
        <v>Q2FY21</v>
      </c>
      <c r="P151" s="80" t="str">
        <f t="shared" si="278"/>
        <v>Q3FY21</v>
      </c>
      <c r="Q151" s="6" t="str">
        <f t="shared" si="278"/>
        <v>Q4FY21</v>
      </c>
      <c r="R151" s="6" t="str">
        <f t="shared" si="278"/>
        <v>Q1FY22</v>
      </c>
      <c r="S151" s="80" t="str">
        <f t="shared" si="278"/>
        <v>Q2FY22</v>
      </c>
      <c r="T151" s="80" t="str">
        <f t="shared" si="278"/>
        <v>Q3FY22</v>
      </c>
      <c r="U151" s="80" t="str">
        <f t="shared" si="278"/>
        <v>Q4FY22</v>
      </c>
      <c r="V151" s="80" t="str">
        <f t="shared" si="278"/>
        <v>Q1FY23</v>
      </c>
      <c r="W151" s="80" t="str">
        <f t="shared" si="278"/>
        <v>Q2FY23</v>
      </c>
      <c r="X151" s="80" t="str">
        <f t="shared" si="278"/>
        <v>Q3FY23</v>
      </c>
      <c r="Y151" s="80" t="str">
        <f t="shared" si="278"/>
        <v>Q4FY23</v>
      </c>
      <c r="Z151" s="80" t="str">
        <f t="shared" si="278"/>
        <v>Q1FY24</v>
      </c>
      <c r="AA151" s="80" t="str">
        <f t="shared" si="278"/>
        <v>Q2FY24</v>
      </c>
      <c r="AB151" s="80" t="str">
        <f t="shared" si="278"/>
        <v>Q3FY24</v>
      </c>
      <c r="AC151" s="80" t="str">
        <f t="shared" si="278"/>
        <v>Q4FY24</v>
      </c>
      <c r="AD151" s="6" t="str">
        <f t="shared" si="278"/>
        <v>y-o-y</v>
      </c>
      <c r="AE151" s="6" t="str">
        <f t="shared" si="278"/>
        <v>q-o-q</v>
      </c>
      <c r="AF151" s="6"/>
    </row>
    <row r="152" spans="1:33" x14ac:dyDescent="0.35">
      <c r="A152" s="1" t="s">
        <v>34</v>
      </c>
      <c r="B152" s="3">
        <f t="shared" ref="B152:H152" si="279">B101</f>
        <v>9889.58</v>
      </c>
      <c r="C152" s="3">
        <f t="shared" si="279"/>
        <v>13649.42</v>
      </c>
      <c r="D152" s="3">
        <f t="shared" si="279"/>
        <v>24815.260000000002</v>
      </c>
      <c r="E152" s="3">
        <f t="shared" si="279"/>
        <v>34802.089999999989</v>
      </c>
      <c r="F152" s="3">
        <f t="shared" si="279"/>
        <v>45101.549999999988</v>
      </c>
      <c r="G152" s="3">
        <f t="shared" si="279"/>
        <v>51178.15</v>
      </c>
      <c r="H152" s="3">
        <f t="shared" si="279"/>
        <v>67389.610000000015</v>
      </c>
      <c r="I152" s="3">
        <f t="shared" ref="I152" si="280">I101</f>
        <v>95339.560000000012</v>
      </c>
      <c r="N152" s="46">
        <v>36987.93</v>
      </c>
      <c r="O152" s="46">
        <v>37223.770000000004</v>
      </c>
      <c r="P152" s="46">
        <v>40084.19</v>
      </c>
      <c r="Q152" s="46">
        <v>45101.549999999988</v>
      </c>
      <c r="R152" s="46">
        <v>45780.28</v>
      </c>
      <c r="S152" s="46">
        <v>46324.609999999993</v>
      </c>
      <c r="T152" s="46">
        <f t="shared" ref="T152:AB152" si="281">T112</f>
        <v>46310.049999999988</v>
      </c>
      <c r="U152" s="46">
        <f t="shared" si="281"/>
        <v>51178.15</v>
      </c>
      <c r="V152" s="46">
        <f t="shared" si="281"/>
        <v>54952.56</v>
      </c>
      <c r="W152" s="46">
        <f t="shared" si="281"/>
        <v>59563.200000000012</v>
      </c>
      <c r="X152" s="46">
        <f t="shared" si="281"/>
        <v>65496.420000000013</v>
      </c>
      <c r="Y152" s="46">
        <f t="shared" si="281"/>
        <v>67389.61</v>
      </c>
      <c r="Z152" s="46">
        <f t="shared" si="281"/>
        <v>76077.579999999987</v>
      </c>
      <c r="AA152" s="46">
        <f t="shared" si="281"/>
        <v>80434.3</v>
      </c>
      <c r="AB152" s="46">
        <f t="shared" si="281"/>
        <v>90041.47</v>
      </c>
      <c r="AC152" s="46">
        <f t="shared" ref="AC152" si="282">AC112</f>
        <v>95339.56</v>
      </c>
      <c r="AD152" s="69">
        <f>IFERROR(AC152/Y152-1,"")</f>
        <v>0.41475162120688935</v>
      </c>
      <c r="AE152" s="69">
        <f>IFERROR(AC152/AB152-1,"")</f>
        <v>5.884055424683754E-2</v>
      </c>
      <c r="AF152" s="75"/>
    </row>
    <row r="153" spans="1:33" x14ac:dyDescent="0.35">
      <c r="A153" s="8" t="s">
        <v>85</v>
      </c>
      <c r="B153" s="33">
        <v>7908.2550000000001</v>
      </c>
      <c r="C153" s="32">
        <f t="shared" ref="C153:I153" si="283">AVERAGE(B152:C152)</f>
        <v>11769.5</v>
      </c>
      <c r="D153" s="32">
        <f t="shared" si="283"/>
        <v>19232.34</v>
      </c>
      <c r="E153" s="32">
        <f t="shared" si="283"/>
        <v>29808.674999999996</v>
      </c>
      <c r="F153" s="32">
        <f t="shared" si="283"/>
        <v>39951.819999999992</v>
      </c>
      <c r="G153" s="32">
        <f t="shared" si="283"/>
        <v>48139.849999999991</v>
      </c>
      <c r="H153" s="32">
        <f t="shared" si="283"/>
        <v>59283.880000000005</v>
      </c>
      <c r="I153" s="32">
        <f t="shared" si="283"/>
        <v>81364.585000000021</v>
      </c>
      <c r="J153" s="32"/>
      <c r="N153" s="55">
        <f>AVERAGE(N152,E152)</f>
        <v>35895.009999999995</v>
      </c>
      <c r="O153" s="55">
        <f t="shared" ref="O153:AC153" si="284">AVERAGE(N152:O152)</f>
        <v>37105.850000000006</v>
      </c>
      <c r="P153" s="55">
        <f t="shared" si="284"/>
        <v>38653.980000000003</v>
      </c>
      <c r="Q153" s="55">
        <f t="shared" si="284"/>
        <v>42592.869999999995</v>
      </c>
      <c r="R153" s="55">
        <f t="shared" si="284"/>
        <v>45440.914999999994</v>
      </c>
      <c r="S153" s="55">
        <f t="shared" si="284"/>
        <v>46052.444999999992</v>
      </c>
      <c r="T153" s="55">
        <f t="shared" si="284"/>
        <v>46317.329999999987</v>
      </c>
      <c r="U153" s="55">
        <f t="shared" si="284"/>
        <v>48744.099999999991</v>
      </c>
      <c r="V153" s="55">
        <f t="shared" si="284"/>
        <v>53065.354999999996</v>
      </c>
      <c r="W153" s="55">
        <f t="shared" si="284"/>
        <v>57257.880000000005</v>
      </c>
      <c r="X153" s="55">
        <f t="shared" si="284"/>
        <v>62529.810000000012</v>
      </c>
      <c r="Y153" s="55">
        <f t="shared" si="284"/>
        <v>66443.015000000014</v>
      </c>
      <c r="Z153" s="55">
        <f t="shared" si="284"/>
        <v>71733.595000000001</v>
      </c>
      <c r="AA153" s="55">
        <f t="shared" si="284"/>
        <v>78255.94</v>
      </c>
      <c r="AB153" s="55">
        <f t="shared" si="284"/>
        <v>85237.885000000009</v>
      </c>
      <c r="AC153" s="55">
        <f t="shared" si="284"/>
        <v>92690.514999999999</v>
      </c>
      <c r="AD153" s="69">
        <f>IFERROR(AC153/Y153-1,"")</f>
        <v>0.39503776281073311</v>
      </c>
      <c r="AE153" s="69">
        <f>IFERROR(AC153/AB153-1,"")</f>
        <v>8.7433305038012055E-2</v>
      </c>
      <c r="AF153" s="75"/>
    </row>
    <row r="154" spans="1:33" x14ac:dyDescent="0.35">
      <c r="A154" s="1" t="s">
        <v>86</v>
      </c>
      <c r="B154" s="3">
        <f t="shared" ref="B154:H154" si="285">B111</f>
        <v>3063.58</v>
      </c>
      <c r="C154" s="3">
        <f t="shared" si="285"/>
        <v>3252.15</v>
      </c>
      <c r="D154" s="3">
        <f t="shared" si="285"/>
        <v>5226.6099999999988</v>
      </c>
      <c r="E154" s="3">
        <f t="shared" si="285"/>
        <v>9334.26</v>
      </c>
      <c r="F154" s="3">
        <f t="shared" si="285"/>
        <v>13805.43</v>
      </c>
      <c r="G154" s="3">
        <f t="shared" si="285"/>
        <v>15736.85</v>
      </c>
      <c r="H154" s="3">
        <f t="shared" si="285"/>
        <v>18173.390000000003</v>
      </c>
      <c r="I154" s="3">
        <f t="shared" ref="I154" si="286">I111</f>
        <v>21214.850000000006</v>
      </c>
      <c r="N154" s="46">
        <v>9726.3599999999988</v>
      </c>
      <c r="O154" s="46">
        <v>9879.75</v>
      </c>
      <c r="P154" s="46">
        <v>10920.54</v>
      </c>
      <c r="Q154" s="46">
        <v>13805.43</v>
      </c>
      <c r="R154" s="46">
        <v>14172.64</v>
      </c>
      <c r="S154" s="46">
        <v>14626.879999999997</v>
      </c>
      <c r="T154" s="46">
        <v>15100.24</v>
      </c>
      <c r="U154" s="46">
        <f>G154</f>
        <v>15736.85</v>
      </c>
      <c r="V154" s="46">
        <f t="shared" ref="V154:AB154" si="287">V111</f>
        <v>16279.21</v>
      </c>
      <c r="W154" s="46">
        <f t="shared" si="287"/>
        <v>16856.190000000002</v>
      </c>
      <c r="X154" s="46">
        <f t="shared" si="287"/>
        <v>17483.3</v>
      </c>
      <c r="Y154" s="46">
        <f t="shared" si="287"/>
        <v>18173.390000000003</v>
      </c>
      <c r="Z154" s="46">
        <f t="shared" si="287"/>
        <v>18679.72</v>
      </c>
      <c r="AA154" s="46">
        <f t="shared" si="287"/>
        <v>19467.320000000003</v>
      </c>
      <c r="AB154" s="46">
        <f t="shared" si="287"/>
        <v>20318.040000000005</v>
      </c>
      <c r="AC154" s="46">
        <f t="shared" ref="AC154" si="288">AC111</f>
        <v>21214.850000000006</v>
      </c>
      <c r="AD154" s="69">
        <f>IFERROR(AC154/Y154-1,"")</f>
        <v>0.16735787874469232</v>
      </c>
      <c r="AE154" s="69">
        <f>IFERROR(AC154/AB154-1,"")</f>
        <v>4.4138607857844514E-2</v>
      </c>
      <c r="AF154" s="75"/>
    </row>
    <row r="155" spans="1:33" x14ac:dyDescent="0.35">
      <c r="A155" s="8" t="s">
        <v>87</v>
      </c>
      <c r="B155" s="33">
        <v>2301.0549999999998</v>
      </c>
      <c r="C155" s="32">
        <f t="shared" ref="C155:I155" si="289">AVERAGE(B154:C154)</f>
        <v>3157.8649999999998</v>
      </c>
      <c r="D155" s="32">
        <f t="shared" si="289"/>
        <v>4239.3799999999992</v>
      </c>
      <c r="E155" s="32">
        <f t="shared" si="289"/>
        <v>7280.4349999999995</v>
      </c>
      <c r="F155" s="32">
        <f t="shared" si="289"/>
        <v>11569.845000000001</v>
      </c>
      <c r="G155" s="32">
        <f t="shared" si="289"/>
        <v>14771.14</v>
      </c>
      <c r="H155" s="32">
        <f t="shared" si="289"/>
        <v>16955.120000000003</v>
      </c>
      <c r="I155" s="32">
        <f t="shared" si="289"/>
        <v>19694.120000000003</v>
      </c>
      <c r="J155" s="32"/>
      <c r="N155" s="55">
        <f>AVERAGE(N154,E154)</f>
        <v>9530.31</v>
      </c>
      <c r="O155" s="55">
        <f t="shared" ref="O155:AC155" si="290">AVERAGE(N154:O154)</f>
        <v>9803.0550000000003</v>
      </c>
      <c r="P155" s="55">
        <f t="shared" si="290"/>
        <v>10400.145</v>
      </c>
      <c r="Q155" s="55">
        <f t="shared" si="290"/>
        <v>12362.985000000001</v>
      </c>
      <c r="R155" s="55">
        <f t="shared" si="290"/>
        <v>13989.035</v>
      </c>
      <c r="S155" s="55">
        <f t="shared" si="290"/>
        <v>14399.759999999998</v>
      </c>
      <c r="T155" s="55">
        <f t="shared" si="290"/>
        <v>14863.559999999998</v>
      </c>
      <c r="U155" s="55">
        <f t="shared" si="290"/>
        <v>15418.545</v>
      </c>
      <c r="V155" s="55">
        <f t="shared" si="290"/>
        <v>16008.029999999999</v>
      </c>
      <c r="W155" s="55">
        <f t="shared" si="290"/>
        <v>16567.7</v>
      </c>
      <c r="X155" s="55">
        <f t="shared" si="290"/>
        <v>17169.745000000003</v>
      </c>
      <c r="Y155" s="55">
        <f t="shared" si="290"/>
        <v>17828.345000000001</v>
      </c>
      <c r="Z155" s="55">
        <f t="shared" si="290"/>
        <v>18426.555</v>
      </c>
      <c r="AA155" s="55">
        <f t="shared" si="290"/>
        <v>19073.520000000004</v>
      </c>
      <c r="AB155" s="55">
        <f t="shared" si="290"/>
        <v>19892.680000000004</v>
      </c>
      <c r="AC155" s="55">
        <f t="shared" si="290"/>
        <v>20766.445000000007</v>
      </c>
      <c r="AD155" s="69">
        <f>IFERROR(AC155/Y155-1,"")</f>
        <v>0.164799368645828</v>
      </c>
      <c r="AE155" s="69">
        <f>IFERROR(AC155/AB155-1,"")</f>
        <v>4.392394589366555E-2</v>
      </c>
      <c r="AF155" s="75"/>
    </row>
    <row r="156" spans="1:33" x14ac:dyDescent="0.35">
      <c r="A156" s="1" t="s">
        <v>131</v>
      </c>
      <c r="B156" s="11">
        <f t="shared" ref="B156:H159" si="291">B55/B$153</f>
        <v>0.10770770542932669</v>
      </c>
      <c r="C156" s="11">
        <f t="shared" si="291"/>
        <v>0.10828582352691281</v>
      </c>
      <c r="D156" s="11">
        <f t="shared" si="291"/>
        <v>0.119026077949953</v>
      </c>
      <c r="E156" s="11">
        <f t="shared" si="291"/>
        <v>0.11489876688581428</v>
      </c>
      <c r="F156" s="11">
        <f t="shared" si="291"/>
        <v>0.10165519368078853</v>
      </c>
      <c r="G156" s="11">
        <f t="shared" si="291"/>
        <v>9.9095447950087096E-2</v>
      </c>
      <c r="H156" s="11">
        <f t="shared" si="291"/>
        <v>0.11512353779813329</v>
      </c>
      <c r="I156" s="11">
        <f t="shared" ref="I156" si="292">I55/I$153</f>
        <v>0.11916904633631446</v>
      </c>
      <c r="J156" s="11"/>
      <c r="N156" s="11">
        <f t="shared" ref="N156:AB156" si="293">N55/N$153*4</f>
        <v>0.11327034036207263</v>
      </c>
      <c r="O156" s="11">
        <f t="shared" si="293"/>
        <v>0.1053731419708752</v>
      </c>
      <c r="P156" s="11">
        <f t="shared" si="293"/>
        <v>0.10576711634869164</v>
      </c>
      <c r="Q156" s="11">
        <f t="shared" si="293"/>
        <v>9.8164786735432483E-2</v>
      </c>
      <c r="R156" s="11">
        <f t="shared" si="293"/>
        <v>9.6060565681831023E-2</v>
      </c>
      <c r="S156" s="11">
        <f t="shared" si="293"/>
        <v>0.10026655479421345</v>
      </c>
      <c r="T156" s="11">
        <f t="shared" si="293"/>
        <v>0.10488514774059735</v>
      </c>
      <c r="U156" s="11">
        <f t="shared" si="293"/>
        <v>0.10752398751848943</v>
      </c>
      <c r="V156" s="11">
        <f t="shared" si="293"/>
        <v>0.10929089233455615</v>
      </c>
      <c r="W156" s="11">
        <f t="shared" si="293"/>
        <v>0.11437307843042738</v>
      </c>
      <c r="X156" s="11">
        <f t="shared" si="293"/>
        <v>0.11518666057037433</v>
      </c>
      <c r="Y156" s="11">
        <f t="shared" si="293"/>
        <v>0.11662565282445413</v>
      </c>
      <c r="Z156" s="11">
        <f t="shared" si="293"/>
        <v>0.12078970808586967</v>
      </c>
      <c r="AA156" s="11">
        <f t="shared" si="293"/>
        <v>0.12000418115225513</v>
      </c>
      <c r="AB156" s="11">
        <f t="shared" si="293"/>
        <v>0.11773825687955526</v>
      </c>
      <c r="AC156" s="11">
        <f t="shared" ref="AC156" si="294">AC55/AC$153*4</f>
        <v>0.11536326019981655</v>
      </c>
      <c r="AG156" s="112"/>
    </row>
    <row r="157" spans="1:33" x14ac:dyDescent="0.35">
      <c r="A157" t="s">
        <v>149</v>
      </c>
      <c r="B157" s="11">
        <f t="shared" si="291"/>
        <v>3.2775877864332907E-3</v>
      </c>
      <c r="C157" s="11">
        <f t="shared" si="291"/>
        <v>0</v>
      </c>
      <c r="D157" s="11">
        <f t="shared" si="291"/>
        <v>1.116660791146579E-2</v>
      </c>
      <c r="E157" s="11">
        <f t="shared" si="291"/>
        <v>1.2453421696871803E-2</v>
      </c>
      <c r="F157" s="11">
        <f t="shared" si="291"/>
        <v>1.0996995881539316E-2</v>
      </c>
      <c r="G157" s="11">
        <f t="shared" si="291"/>
        <v>1.4091028534571674E-2</v>
      </c>
      <c r="H157" s="11">
        <f t="shared" si="291"/>
        <v>6.4160780299804933E-3</v>
      </c>
      <c r="I157" s="11">
        <f t="shared" ref="I157" si="295">I56/I$153</f>
        <v>7.7562000715667616E-3</v>
      </c>
      <c r="J157" s="11"/>
      <c r="N157" s="11">
        <f t="shared" ref="N157:AB157" si="296">N56/N$153*4</f>
        <v>2.870928298947403E-2</v>
      </c>
      <c r="O157" s="11">
        <f t="shared" si="296"/>
        <v>0</v>
      </c>
      <c r="P157" s="11">
        <f t="shared" si="296"/>
        <v>0</v>
      </c>
      <c r="Q157" s="11">
        <f t="shared" si="296"/>
        <v>1.7065767110786386E-2</v>
      </c>
      <c r="R157" s="11">
        <f t="shared" si="296"/>
        <v>1.7046311677482731E-2</v>
      </c>
      <c r="S157" s="11">
        <f t="shared" si="296"/>
        <v>1.4830048654311406E-2</v>
      </c>
      <c r="T157" s="11">
        <f t="shared" si="296"/>
        <v>1.5179631468394232E-2</v>
      </c>
      <c r="U157" s="11">
        <f t="shared" si="296"/>
        <v>1.1339218490032646E-2</v>
      </c>
      <c r="V157" s="11">
        <f t="shared" si="296"/>
        <v>7.4624960108153433E-3</v>
      </c>
      <c r="W157" s="11">
        <f t="shared" si="296"/>
        <v>6.5178801590278926E-3</v>
      </c>
      <c r="X157" s="11">
        <f t="shared" si="296"/>
        <v>4.8642399521124369E-3</v>
      </c>
      <c r="Y157" s="11">
        <f t="shared" si="296"/>
        <v>6.7444260318409695E-3</v>
      </c>
      <c r="Z157" s="11">
        <f t="shared" si="296"/>
        <v>7.0098257308866228E-3</v>
      </c>
      <c r="AA157" s="11">
        <f t="shared" si="296"/>
        <v>7.7387096749460824E-3</v>
      </c>
      <c r="AB157" s="11">
        <f t="shared" si="296"/>
        <v>9.6792640971793218E-3</v>
      </c>
      <c r="AC157" s="11">
        <f t="shared" ref="AC157" si="297">AC56/AC$153*4</f>
        <v>6.3743307500233456E-3</v>
      </c>
      <c r="AG157" s="112"/>
    </row>
    <row r="158" spans="1:33" x14ac:dyDescent="0.35">
      <c r="A158" s="1" t="s">
        <v>154</v>
      </c>
      <c r="B158" s="11">
        <f t="shared" si="291"/>
        <v>4.8139570613238954E-3</v>
      </c>
      <c r="C158" s="11">
        <f t="shared" si="291"/>
        <v>5.7691490717532599E-3</v>
      </c>
      <c r="D158" s="11">
        <f t="shared" si="291"/>
        <v>1.0728283713786259E-2</v>
      </c>
      <c r="E158" s="11">
        <f t="shared" si="291"/>
        <v>1.3437363452082324E-2</v>
      </c>
      <c r="F158" s="11">
        <f t="shared" si="291"/>
        <v>9.7855366789297727E-3</v>
      </c>
      <c r="G158" s="11">
        <f t="shared" si="291"/>
        <v>1.0557365675215025E-2</v>
      </c>
      <c r="H158" s="11">
        <f t="shared" si="291"/>
        <v>1.2661789343072691E-2</v>
      </c>
      <c r="I158" s="11">
        <f t="shared" ref="I158" si="298">I57/I$153</f>
        <v>1.5218291840362729E-2</v>
      </c>
      <c r="J158" s="11"/>
      <c r="N158" s="11">
        <f t="shared" ref="N158:AB158" si="299">N57/N$153*4</f>
        <v>7.591027276493305E-3</v>
      </c>
      <c r="O158" s="11">
        <f t="shared" si="299"/>
        <v>1.1918336327021209E-2</v>
      </c>
      <c r="P158" s="11">
        <f t="shared" si="299"/>
        <v>8.3603292597553974E-3</v>
      </c>
      <c r="Q158" s="11">
        <f t="shared" si="299"/>
        <v>1.2347606536023518E-2</v>
      </c>
      <c r="R158" s="11">
        <f t="shared" si="299"/>
        <v>1.170751073124298E-2</v>
      </c>
      <c r="S158" s="11">
        <f t="shared" si="299"/>
        <v>1.1818699311187496E-2</v>
      </c>
      <c r="T158" s="11">
        <f t="shared" si="299"/>
        <v>1.0947954037937855E-2</v>
      </c>
      <c r="U158" s="11">
        <f t="shared" si="299"/>
        <v>9.2228597922620389E-3</v>
      </c>
      <c r="V158" s="11">
        <f t="shared" si="299"/>
        <v>1.0896751750742081E-2</v>
      </c>
      <c r="W158" s="11">
        <f t="shared" si="299"/>
        <v>1.1428295983015787E-2</v>
      </c>
      <c r="X158" s="11">
        <f t="shared" si="299"/>
        <v>1.1433266789072279E-2</v>
      </c>
      <c r="Y158" s="11">
        <f t="shared" si="299"/>
        <v>1.58788700362258E-2</v>
      </c>
      <c r="Z158" s="11">
        <f t="shared" si="299"/>
        <v>1.7073729540531182E-2</v>
      </c>
      <c r="AA158" s="11">
        <f t="shared" si="299"/>
        <v>1.4345236923868014E-2</v>
      </c>
      <c r="AB158" s="11">
        <f t="shared" si="299"/>
        <v>1.3838916814981979E-2</v>
      </c>
      <c r="AC158" s="11">
        <f t="shared" ref="AC158" si="300">AC57/AC$153*4</f>
        <v>1.5384098362167909E-2</v>
      </c>
      <c r="AG158" s="112"/>
    </row>
    <row r="159" spans="1:33" x14ac:dyDescent="0.35">
      <c r="A159" s="2" t="s">
        <v>150</v>
      </c>
      <c r="B159" s="11">
        <f t="shared" si="291"/>
        <v>0.11579925027708388</v>
      </c>
      <c r="C159" s="11">
        <f t="shared" si="291"/>
        <v>0.11405497259866608</v>
      </c>
      <c r="D159" s="11">
        <f t="shared" si="291"/>
        <v>0.14092096957520503</v>
      </c>
      <c r="E159" s="11">
        <f t="shared" si="291"/>
        <v>0.14078955203476842</v>
      </c>
      <c r="F159" s="11">
        <f t="shared" si="291"/>
        <v>0.12243772624125761</v>
      </c>
      <c r="G159" s="11">
        <f t="shared" si="291"/>
        <v>0.12374384215987379</v>
      </c>
      <c r="H159" s="11">
        <f t="shared" si="291"/>
        <v>0.13420140517118648</v>
      </c>
      <c r="I159" s="11">
        <f t="shared" ref="I159" si="301">I58/I$153</f>
        <v>0.14214353824824394</v>
      </c>
      <c r="J159" s="11"/>
      <c r="N159" s="11">
        <f t="shared" ref="N159:AB159" si="302">N58/N$153*4</f>
        <v>0.14957065062803998</v>
      </c>
      <c r="O159" s="11">
        <f t="shared" si="302"/>
        <v>0.11729147829789641</v>
      </c>
      <c r="P159" s="11">
        <f t="shared" si="302"/>
        <v>0.11412744560844705</v>
      </c>
      <c r="Q159" s="11">
        <f t="shared" si="302"/>
        <v>0.1275781603822424</v>
      </c>
      <c r="R159" s="11">
        <f t="shared" si="302"/>
        <v>0.12481438809055674</v>
      </c>
      <c r="S159" s="11">
        <f t="shared" si="302"/>
        <v>0.12691530275971236</v>
      </c>
      <c r="T159" s="11">
        <f t="shared" si="302"/>
        <v>0.13101273324692941</v>
      </c>
      <c r="U159" s="11">
        <f t="shared" si="302"/>
        <v>0.12808606580078413</v>
      </c>
      <c r="V159" s="11">
        <f t="shared" si="302"/>
        <v>0.12765014009611356</v>
      </c>
      <c r="W159" s="11">
        <f t="shared" si="302"/>
        <v>0.13231925457247104</v>
      </c>
      <c r="X159" s="11">
        <f t="shared" si="302"/>
        <v>0.13148416731155904</v>
      </c>
      <c r="Y159" s="11">
        <f t="shared" si="302"/>
        <v>0.1392489488925209</v>
      </c>
      <c r="Z159" s="11">
        <f t="shared" si="302"/>
        <v>0.14487326335728748</v>
      </c>
      <c r="AA159" s="11">
        <f t="shared" si="302"/>
        <v>0.14208812775106924</v>
      </c>
      <c r="AB159" s="11">
        <f t="shared" si="302"/>
        <v>0.14125643779171657</v>
      </c>
      <c r="AC159" s="11">
        <f t="shared" ref="AC159" si="303">AC58/AC$153*4</f>
        <v>0.1371216893120078</v>
      </c>
      <c r="AG159" s="112"/>
    </row>
    <row r="160" spans="1:33" x14ac:dyDescent="0.35">
      <c r="A160" s="1" t="s">
        <v>132</v>
      </c>
      <c r="B160" s="11">
        <f t="shared" ref="B160:H160" si="304">B59/B153</f>
        <v>6.7378960339543936E-2</v>
      </c>
      <c r="C160" s="11">
        <f t="shared" si="304"/>
        <v>5.4981944857470579E-2</v>
      </c>
      <c r="D160" s="11">
        <f t="shared" si="304"/>
        <v>6.4933856202625359E-2</v>
      </c>
      <c r="E160" s="11">
        <f t="shared" si="304"/>
        <v>6.4150117373549823E-2</v>
      </c>
      <c r="F160" s="11">
        <f t="shared" si="304"/>
        <v>5.421129750784822E-2</v>
      </c>
      <c r="G160" s="11">
        <f t="shared" si="304"/>
        <v>4.4623113698941737E-2</v>
      </c>
      <c r="H160" s="11">
        <f t="shared" si="304"/>
        <v>5.1153197125424314E-2</v>
      </c>
      <c r="I160" s="11">
        <f t="shared" ref="I160" si="305">I59/I153</f>
        <v>6.1287229572915519E-2</v>
      </c>
      <c r="J160" s="11"/>
      <c r="N160" s="11">
        <f t="shared" ref="N160:AB160" si="306">N59/N$153*4</f>
        <v>5.9957080385268043E-2</v>
      </c>
      <c r="O160" s="11">
        <f t="shared" si="306"/>
        <v>6.0556489071130287E-2</v>
      </c>
      <c r="P160" s="11">
        <f t="shared" si="306"/>
        <v>5.5005978685765337E-2</v>
      </c>
      <c r="Q160" s="11">
        <f t="shared" si="306"/>
        <v>5.0196194809131206E-2</v>
      </c>
      <c r="R160" s="11">
        <f t="shared" si="306"/>
        <v>4.638286883087632E-2</v>
      </c>
      <c r="S160" s="11">
        <f t="shared" si="306"/>
        <v>4.6971664588058258E-2</v>
      </c>
      <c r="T160" s="11">
        <f t="shared" si="306"/>
        <v>4.7026890366953372E-2</v>
      </c>
      <c r="U160" s="11">
        <f t="shared" si="306"/>
        <v>4.3976604348013419E-2</v>
      </c>
      <c r="V160" s="11">
        <f t="shared" si="306"/>
        <v>4.5577005939185747E-2</v>
      </c>
      <c r="W160" s="11">
        <f t="shared" si="306"/>
        <v>4.9531697645808746E-2</v>
      </c>
      <c r="X160" s="11">
        <f t="shared" si="306"/>
        <v>5.0726525476408754E-2</v>
      </c>
      <c r="Y160" s="11">
        <f t="shared" si="306"/>
        <v>5.5742202547551481E-2</v>
      </c>
      <c r="Z160" s="11">
        <f t="shared" si="306"/>
        <v>5.9382497140983946E-2</v>
      </c>
      <c r="AA160" s="11">
        <f t="shared" si="306"/>
        <v>5.966831399635604E-2</v>
      </c>
      <c r="AB160" s="11">
        <f t="shared" si="306"/>
        <v>6.0957401746887567E-2</v>
      </c>
      <c r="AC160" s="11">
        <f t="shared" ref="AC160" si="307">AC59/AC$153*4</f>
        <v>6.2805131679330925E-2</v>
      </c>
      <c r="AG160" s="112"/>
    </row>
    <row r="161" spans="1:33" x14ac:dyDescent="0.35">
      <c r="A161" s="2" t="s">
        <v>133</v>
      </c>
      <c r="B161" s="12">
        <f t="shared" ref="B161:G161" si="308">B156-B160</f>
        <v>4.032874508978275E-2</v>
      </c>
      <c r="C161" s="12">
        <f t="shared" si="308"/>
        <v>5.330387866944223E-2</v>
      </c>
      <c r="D161" s="12">
        <f t="shared" si="308"/>
        <v>5.409222174732764E-2</v>
      </c>
      <c r="E161" s="12">
        <f t="shared" si="308"/>
        <v>5.074864951226446E-2</v>
      </c>
      <c r="F161" s="12">
        <f t="shared" si="308"/>
        <v>4.7443896172940307E-2</v>
      </c>
      <c r="G161" s="12">
        <f t="shared" si="308"/>
        <v>5.4472334251145359E-2</v>
      </c>
      <c r="H161" s="12">
        <f t="shared" ref="H161:I161" si="309">H156-H160</f>
        <v>6.3970340672708986E-2</v>
      </c>
      <c r="I161" s="12">
        <f t="shared" si="309"/>
        <v>5.7881816763398944E-2</v>
      </c>
      <c r="J161" s="12"/>
      <c r="N161" s="12">
        <f t="shared" ref="N161:U161" si="310">N156-N160</f>
        <v>5.331325997680459E-2</v>
      </c>
      <c r="O161" s="12">
        <f t="shared" si="310"/>
        <v>4.4816652899744916E-2</v>
      </c>
      <c r="P161" s="12">
        <f t="shared" si="310"/>
        <v>5.0761137662926302E-2</v>
      </c>
      <c r="Q161" s="12">
        <f t="shared" si="310"/>
        <v>4.7968591926301277E-2</v>
      </c>
      <c r="R161" s="12">
        <f t="shared" si="310"/>
        <v>4.9677696850954703E-2</v>
      </c>
      <c r="S161" s="12">
        <f t="shared" si="310"/>
        <v>5.3294890206155195E-2</v>
      </c>
      <c r="T161" s="12">
        <f>T156-T160</f>
        <v>5.7858257373643973E-2</v>
      </c>
      <c r="U161" s="12">
        <f t="shared" si="310"/>
        <v>6.3547383170476007E-2</v>
      </c>
      <c r="V161" s="12">
        <f t="shared" ref="V161:W161" si="311">V156-V160</f>
        <v>6.37138863953704E-2</v>
      </c>
      <c r="W161" s="12">
        <f t="shared" si="311"/>
        <v>6.4841380784618624E-2</v>
      </c>
      <c r="X161" s="12">
        <f t="shared" ref="X161:Y161" si="312">X156-X160</f>
        <v>6.4460135093965573E-2</v>
      </c>
      <c r="Y161" s="12">
        <f t="shared" si="312"/>
        <v>6.0883450276902645E-2</v>
      </c>
      <c r="Z161" s="12">
        <f t="shared" ref="Z161:AA161" si="313">Z156-Z160</f>
        <v>6.1407210944885722E-2</v>
      </c>
      <c r="AA161" s="12">
        <f t="shared" si="313"/>
        <v>6.0335867155899087E-2</v>
      </c>
      <c r="AB161" s="12">
        <f t="shared" ref="AB161:AC161" si="314">AB156-AB160</f>
        <v>5.6780855132667694E-2</v>
      </c>
      <c r="AC161" s="12">
        <f t="shared" si="314"/>
        <v>5.2558128520485622E-2</v>
      </c>
      <c r="AG161" s="112"/>
    </row>
    <row r="162" spans="1:33" x14ac:dyDescent="0.35">
      <c r="A162" s="2" t="s">
        <v>190</v>
      </c>
      <c r="B162" s="12">
        <f t="shared" ref="B162:G162" si="315">B159-B160</f>
        <v>4.842028993753994E-2</v>
      </c>
      <c r="C162" s="12">
        <f t="shared" si="315"/>
        <v>5.9073027741195501E-2</v>
      </c>
      <c r="D162" s="12">
        <f t="shared" si="315"/>
        <v>7.598711337257967E-2</v>
      </c>
      <c r="E162" s="12">
        <f t="shared" si="315"/>
        <v>7.66394346612186E-2</v>
      </c>
      <c r="F162" s="12">
        <f t="shared" si="315"/>
        <v>6.8226428733409394E-2</v>
      </c>
      <c r="G162" s="12">
        <f t="shared" si="315"/>
        <v>7.9120728460932044E-2</v>
      </c>
      <c r="H162" s="12">
        <f t="shared" ref="H162:I162" si="316">H159-H160</f>
        <v>8.3048208045762156E-2</v>
      </c>
      <c r="I162" s="12">
        <f t="shared" si="316"/>
        <v>8.085630867532842E-2</v>
      </c>
      <c r="J162" s="12"/>
      <c r="N162" s="12">
        <f t="shared" ref="N162:U162" si="317">N159-N160</f>
        <v>8.9613570242771945E-2</v>
      </c>
      <c r="O162" s="12">
        <f t="shared" si="317"/>
        <v>5.6734989226766119E-2</v>
      </c>
      <c r="P162" s="12">
        <f t="shared" si="317"/>
        <v>5.9121466922681713E-2</v>
      </c>
      <c r="Q162" s="12">
        <f t="shared" si="317"/>
        <v>7.7381965573111194E-2</v>
      </c>
      <c r="R162" s="12">
        <f t="shared" si="317"/>
        <v>7.8431519259680421E-2</v>
      </c>
      <c r="S162" s="12">
        <f t="shared" si="317"/>
        <v>7.9943638171654091E-2</v>
      </c>
      <c r="T162" s="12">
        <f>T159-T160</f>
        <v>8.3985842879976041E-2</v>
      </c>
      <c r="U162" s="12">
        <f t="shared" si="317"/>
        <v>8.4109461452770706E-2</v>
      </c>
      <c r="V162" s="12">
        <f t="shared" ref="V162:W162" si="318">V159-V160</f>
        <v>8.207313415692781E-2</v>
      </c>
      <c r="W162" s="12">
        <f t="shared" si="318"/>
        <v>8.2787556926662287E-2</v>
      </c>
      <c r="X162" s="12">
        <f t="shared" ref="X162:Y162" si="319">X159-X160</f>
        <v>8.0757641835150287E-2</v>
      </c>
      <c r="Y162" s="12">
        <f t="shared" si="319"/>
        <v>8.3506746344969421E-2</v>
      </c>
      <c r="Z162" s="12">
        <f t="shared" ref="Z162:AA162" si="320">Z159-Z160</f>
        <v>8.5490766216303526E-2</v>
      </c>
      <c r="AA162" s="12">
        <f t="shared" si="320"/>
        <v>8.2419813754713203E-2</v>
      </c>
      <c r="AB162" s="12">
        <f t="shared" ref="AB162:AC162" si="321">AB159-AB160</f>
        <v>8.0299036044828992E-2</v>
      </c>
      <c r="AC162" s="12">
        <f t="shared" si="321"/>
        <v>7.4316557632676875E-2</v>
      </c>
      <c r="AG162" s="112"/>
    </row>
    <row r="163" spans="1:33" x14ac:dyDescent="0.35">
      <c r="A163" s="1" t="s">
        <v>129</v>
      </c>
      <c r="B163" s="11">
        <f t="shared" ref="B163:H163" si="322">B62/B153</f>
        <v>3.3129938273361192E-2</v>
      </c>
      <c r="C163" s="11">
        <f t="shared" si="322"/>
        <v>3.6010025914439872E-2</v>
      </c>
      <c r="D163" s="11">
        <f t="shared" si="322"/>
        <v>3.8238196704093209E-2</v>
      </c>
      <c r="E163" s="11">
        <f t="shared" si="322"/>
        <v>3.5095488142294157E-2</v>
      </c>
      <c r="F163" s="11">
        <f t="shared" si="322"/>
        <v>2.6627322610083857E-2</v>
      </c>
      <c r="G163" s="11">
        <f t="shared" si="322"/>
        <v>2.6915123333371423E-2</v>
      </c>
      <c r="H163" s="11">
        <f t="shared" si="322"/>
        <v>2.9620024870167069E-2</v>
      </c>
      <c r="I163" s="11">
        <f t="shared" ref="I163" si="323">I62/I153</f>
        <v>2.8574102602502052E-2</v>
      </c>
      <c r="J163" s="11"/>
      <c r="N163" s="11">
        <f t="shared" ref="N163:AB163" si="324">N62/N153*4</f>
        <v>2.5847603887002683E-2</v>
      </c>
      <c r="O163" s="11">
        <f t="shared" si="324"/>
        <v>2.4909279803588914E-2</v>
      </c>
      <c r="P163" s="11">
        <f t="shared" si="324"/>
        <v>2.953382808186893E-2</v>
      </c>
      <c r="Q163" s="11">
        <f t="shared" si="324"/>
        <v>2.9619041872501202E-2</v>
      </c>
      <c r="R163" s="11">
        <f t="shared" si="324"/>
        <v>2.5025904517987814E-2</v>
      </c>
      <c r="S163" s="11">
        <f t="shared" si="324"/>
        <v>2.8146171175059218E-2</v>
      </c>
      <c r="T163" s="11">
        <f t="shared" si="324"/>
        <v>2.7750304259766281E-2</v>
      </c>
      <c r="U163" s="11">
        <f t="shared" si="324"/>
        <v>3.0035224775921607E-2</v>
      </c>
      <c r="V163" s="11">
        <f t="shared" si="324"/>
        <v>2.9374344146006374E-2</v>
      </c>
      <c r="W163" s="11">
        <f t="shared" si="324"/>
        <v>3.0993113960908085E-2</v>
      </c>
      <c r="X163" s="11">
        <f t="shared" si="324"/>
        <v>2.8475378383526189E-2</v>
      </c>
      <c r="Y163" s="11">
        <f t="shared" si="324"/>
        <v>2.8747039850614851E-2</v>
      </c>
      <c r="Z163" s="11">
        <f t="shared" si="324"/>
        <v>3.1002489140548442E-2</v>
      </c>
      <c r="AA163" s="11">
        <f t="shared" si="324"/>
        <v>2.9036517866886522E-2</v>
      </c>
      <c r="AB163" s="11">
        <f t="shared" si="324"/>
        <v>2.8797054267594734E-2</v>
      </c>
      <c r="AC163" s="11">
        <f t="shared" ref="AC163" si="325">AC62/AC153*4</f>
        <v>2.5341104211148251E-2</v>
      </c>
      <c r="AG163" s="112"/>
    </row>
    <row r="164" spans="1:33" s="2" customFormat="1" x14ac:dyDescent="0.35">
      <c r="A164" s="2" t="s">
        <v>210</v>
      </c>
      <c r="B164" s="12">
        <f t="shared" ref="B164:H164" si="326">B67/B153</f>
        <v>1.5290351664178754E-2</v>
      </c>
      <c r="C164" s="12">
        <f t="shared" si="326"/>
        <v>2.3063001826755622E-2</v>
      </c>
      <c r="D164" s="12">
        <f t="shared" si="326"/>
        <v>3.7748916668486468E-2</v>
      </c>
      <c r="E164" s="12">
        <f t="shared" si="326"/>
        <v>4.1543946518924443E-2</v>
      </c>
      <c r="F164" s="12">
        <f t="shared" si="326"/>
        <v>4.1599106123325534E-2</v>
      </c>
      <c r="G164" s="12">
        <f t="shared" si="326"/>
        <v>5.2205605127560631E-2</v>
      </c>
      <c r="H164" s="12">
        <f t="shared" si="326"/>
        <v>5.3428183175595098E-2</v>
      </c>
      <c r="I164" s="12">
        <f t="shared" ref="I164" si="327">I67/I153</f>
        <v>5.2282206072826382E-2</v>
      </c>
      <c r="J164" s="12"/>
      <c r="N164" s="12">
        <f t="shared" ref="N164:AB164" si="328">N67/N153*4</f>
        <v>6.3765966355769241E-2</v>
      </c>
      <c r="O164" s="12">
        <f t="shared" si="328"/>
        <v>3.1825709423177202E-2</v>
      </c>
      <c r="P164" s="12">
        <f t="shared" si="328"/>
        <v>2.958763884081278E-2</v>
      </c>
      <c r="Q164" s="12">
        <f t="shared" si="328"/>
        <v>4.7762923700609985E-2</v>
      </c>
      <c r="R164" s="12">
        <f t="shared" si="328"/>
        <v>5.34056147416926E-2</v>
      </c>
      <c r="S164" s="12">
        <f t="shared" si="328"/>
        <v>5.1797466996594869E-2</v>
      </c>
      <c r="T164" s="12">
        <f t="shared" si="328"/>
        <v>5.6235538620209767E-2</v>
      </c>
      <c r="U164" s="12">
        <f t="shared" si="328"/>
        <v>5.4074236676849109E-2</v>
      </c>
      <c r="V164" s="12">
        <f t="shared" si="328"/>
        <v>5.2698790010921433E-2</v>
      </c>
      <c r="W164" s="12">
        <f t="shared" si="328"/>
        <v>5.1794442965754209E-2</v>
      </c>
      <c r="X164" s="12">
        <f t="shared" si="328"/>
        <v>5.2282263451624074E-2</v>
      </c>
      <c r="Y164" s="12">
        <f t="shared" si="328"/>
        <v>5.4759706494354556E-2</v>
      </c>
      <c r="Z164" s="12">
        <f t="shared" si="328"/>
        <v>5.4488277075755091E-2</v>
      </c>
      <c r="AA164" s="12">
        <f t="shared" si="328"/>
        <v>5.3383295887826664E-2</v>
      </c>
      <c r="AB164" s="12">
        <f t="shared" si="328"/>
        <v>5.1501981777234272E-2</v>
      </c>
      <c r="AC164" s="12">
        <f t="shared" ref="AC164" si="329">AC67/AC153*4</f>
        <v>4.8975453421528606E-2</v>
      </c>
      <c r="AD164" s="70"/>
      <c r="AE164" s="70"/>
      <c r="AF164" s="70"/>
      <c r="AG164" s="112"/>
    </row>
    <row r="165" spans="1:33" x14ac:dyDescent="0.35">
      <c r="A165" s="1" t="s">
        <v>88</v>
      </c>
      <c r="B165" s="11">
        <f t="shared" ref="B165:H165" si="330">B68/B$153</f>
        <v>2.1964390374361979E-3</v>
      </c>
      <c r="C165" s="11">
        <f t="shared" si="330"/>
        <v>2.4419049237435742E-3</v>
      </c>
      <c r="D165" s="11">
        <f t="shared" si="330"/>
        <v>3.8024494159317065E-3</v>
      </c>
      <c r="E165" s="11">
        <f t="shared" si="330"/>
        <v>5.5366432758249071E-3</v>
      </c>
      <c r="F165" s="11">
        <f t="shared" si="330"/>
        <v>8.0479437482447614E-3</v>
      </c>
      <c r="G165" s="11">
        <f t="shared" si="330"/>
        <v>5.1977727392170945E-3</v>
      </c>
      <c r="H165" s="11">
        <f t="shared" si="330"/>
        <v>3.6304978688979192E-3</v>
      </c>
      <c r="I165" s="11">
        <f t="shared" ref="I165" si="331">I68/I$153</f>
        <v>3.1256842273576393E-3</v>
      </c>
      <c r="J165" s="11"/>
      <c r="N165" s="11">
        <f t="shared" ref="N165:AB165" si="332">N68/N$153*4</f>
        <v>4.9711645156248745E-3</v>
      </c>
      <c r="O165" s="11">
        <f t="shared" si="332"/>
        <v>1.288422176018067E-2</v>
      </c>
      <c r="P165" s="11">
        <f t="shared" si="332"/>
        <v>7.6514759928990482E-3</v>
      </c>
      <c r="Q165" s="11">
        <f t="shared" si="332"/>
        <v>7.8379315599066222E-3</v>
      </c>
      <c r="R165" s="11">
        <f t="shared" si="332"/>
        <v>1.148040262833616E-2</v>
      </c>
      <c r="S165" s="11">
        <f t="shared" si="332"/>
        <v>2.8897488504682012E-3</v>
      </c>
      <c r="T165" s="11">
        <f t="shared" si="332"/>
        <v>5.1557376040458304E-3</v>
      </c>
      <c r="U165" s="11">
        <f t="shared" si="332"/>
        <v>2.2017023598753494E-3</v>
      </c>
      <c r="V165" s="11">
        <f t="shared" si="332"/>
        <v>2.72494172516136E-3</v>
      </c>
      <c r="W165" s="11">
        <f t="shared" si="332"/>
        <v>3.4706140010772315E-3</v>
      </c>
      <c r="X165" s="11">
        <f t="shared" si="332"/>
        <v>3.8285739233815032E-3</v>
      </c>
      <c r="Y165" s="11">
        <f t="shared" si="332"/>
        <v>4.1870465992550135E-3</v>
      </c>
      <c r="Z165" s="11">
        <f t="shared" si="332"/>
        <v>4.2858579721258916E-3</v>
      </c>
      <c r="AA165" s="11">
        <f t="shared" si="332"/>
        <v>4.0876130297585068E-3</v>
      </c>
      <c r="AB165" s="11">
        <f t="shared" si="332"/>
        <v>3.2872706778212537E-3</v>
      </c>
      <c r="AC165" s="11">
        <f t="shared" ref="AC165" si="333">AC68/AC$153*4</f>
        <v>1.1841556819486882E-3</v>
      </c>
      <c r="AG165" s="112"/>
    </row>
    <row r="166" spans="1:33" s="2" customFormat="1" x14ac:dyDescent="0.35">
      <c r="A166" s="2" t="s">
        <v>134</v>
      </c>
      <c r="B166" s="12">
        <f t="shared" ref="B166:G166" si="334">B164-B165</f>
        <v>1.3093912626742556E-2</v>
      </c>
      <c r="C166" s="12">
        <f t="shared" si="334"/>
        <v>2.0621096903012049E-2</v>
      </c>
      <c r="D166" s="12">
        <f t="shared" si="334"/>
        <v>3.3946467252554763E-2</v>
      </c>
      <c r="E166" s="12">
        <f t="shared" si="334"/>
        <v>3.6007303243099538E-2</v>
      </c>
      <c r="F166" s="12">
        <f t="shared" si="334"/>
        <v>3.3551162375080774E-2</v>
      </c>
      <c r="G166" s="12">
        <f t="shared" si="334"/>
        <v>4.7007832388343537E-2</v>
      </c>
      <c r="H166" s="12">
        <f t="shared" ref="H166:I166" si="335">H164-H165</f>
        <v>4.9797685306697176E-2</v>
      </c>
      <c r="I166" s="12">
        <f t="shared" si="335"/>
        <v>4.9156521845468745E-2</v>
      </c>
      <c r="J166" s="12"/>
      <c r="N166" s="12">
        <f>N164-N165</f>
        <v>5.8794801840144365E-2</v>
      </c>
      <c r="O166" s="12">
        <f t="shared" ref="O166:U166" si="336">O164-O165</f>
        <v>1.8941487662996533E-2</v>
      </c>
      <c r="P166" s="12">
        <f t="shared" si="336"/>
        <v>2.1936162847913731E-2</v>
      </c>
      <c r="Q166" s="12">
        <f t="shared" si="336"/>
        <v>3.9924992140703365E-2</v>
      </c>
      <c r="R166" s="12">
        <f t="shared" si="336"/>
        <v>4.1925212113356439E-2</v>
      </c>
      <c r="S166" s="12">
        <f t="shared" si="336"/>
        <v>4.8907718146126669E-2</v>
      </c>
      <c r="T166" s="12">
        <f>T164-T165</f>
        <v>5.1079801016163939E-2</v>
      </c>
      <c r="U166" s="12">
        <f t="shared" si="336"/>
        <v>5.1872534316973758E-2</v>
      </c>
      <c r="V166" s="12">
        <f t="shared" ref="V166:W166" si="337">V164-V165</f>
        <v>4.997384828576007E-2</v>
      </c>
      <c r="W166" s="12">
        <f t="shared" si="337"/>
        <v>4.8323828964676976E-2</v>
      </c>
      <c r="X166" s="12">
        <f t="shared" ref="X166:Y166" si="338">X164-X165</f>
        <v>4.8453689528242569E-2</v>
      </c>
      <c r="Y166" s="12">
        <f t="shared" si="338"/>
        <v>5.0572659895099542E-2</v>
      </c>
      <c r="Z166" s="12">
        <f t="shared" ref="Z166:AA166" si="339">Z164-Z165</f>
        <v>5.0202419103629201E-2</v>
      </c>
      <c r="AA166" s="12">
        <f t="shared" si="339"/>
        <v>4.9295682858068159E-2</v>
      </c>
      <c r="AB166" s="12">
        <f t="shared" ref="AB166:AC166" si="340">AB164-AB165</f>
        <v>4.821471109941302E-2</v>
      </c>
      <c r="AC166" s="12">
        <f t="shared" si="340"/>
        <v>4.7791297739579915E-2</v>
      </c>
      <c r="AD166" s="70"/>
      <c r="AE166" s="70"/>
      <c r="AF166" s="70"/>
      <c r="AG166" s="112"/>
    </row>
    <row r="167" spans="1:33" x14ac:dyDescent="0.35">
      <c r="A167" s="1" t="s">
        <v>135</v>
      </c>
      <c r="B167" s="11">
        <f t="shared" ref="B167:H168" si="341">B70/B$153</f>
        <v>4.652100874339535E-3</v>
      </c>
      <c r="C167" s="11">
        <f t="shared" si="341"/>
        <v>7.0300352606312922E-3</v>
      </c>
      <c r="D167" s="11">
        <f t="shared" si="341"/>
        <v>1.017192915682647E-2</v>
      </c>
      <c r="E167" s="11">
        <f t="shared" si="341"/>
        <v>9.3197701675770579E-3</v>
      </c>
      <c r="F167" s="11">
        <f t="shared" si="341"/>
        <v>8.4854707495177952E-3</v>
      </c>
      <c r="G167" s="11">
        <f t="shared" si="341"/>
        <v>1.0845484562166274E-2</v>
      </c>
      <c r="H167" s="11">
        <f t="shared" si="341"/>
        <v>1.1289409532574452E-2</v>
      </c>
      <c r="I167" s="11">
        <f t="shared" ref="I167" si="342">I70/I$153</f>
        <v>1.1582803501056385E-2</v>
      </c>
      <c r="J167" s="11"/>
      <c r="N167" s="11">
        <f t="shared" ref="N167:AB167" si="343">N70/N$153*4</f>
        <v>1.5764865367080272E-2</v>
      </c>
      <c r="O167" s="11">
        <f t="shared" si="343"/>
        <v>3.4894767267155988E-3</v>
      </c>
      <c r="P167" s="11">
        <f t="shared" si="343"/>
        <v>5.4731750779609236E-3</v>
      </c>
      <c r="Q167" s="11">
        <f t="shared" si="343"/>
        <v>1.0544487845031338E-2</v>
      </c>
      <c r="R167" s="11">
        <f t="shared" si="343"/>
        <v>1.1022665366663503E-2</v>
      </c>
      <c r="S167" s="11">
        <f t="shared" si="343"/>
        <v>1.1474743631961343E-2</v>
      </c>
      <c r="T167" s="11">
        <f t="shared" si="343"/>
        <v>1.1408256909454843E-2</v>
      </c>
      <c r="U167" s="11">
        <f t="shared" si="343"/>
        <v>1.2339544683356553E-2</v>
      </c>
      <c r="V167" s="11">
        <f t="shared" si="343"/>
        <v>1.1344501511391002E-2</v>
      </c>
      <c r="W167" s="11">
        <f t="shared" si="343"/>
        <v>1.0408349034229001E-2</v>
      </c>
      <c r="X167" s="11">
        <f t="shared" si="343"/>
        <v>1.0876092538902642E-2</v>
      </c>
      <c r="Y167" s="11">
        <f t="shared" si="343"/>
        <v>1.2026546357054985E-2</v>
      </c>
      <c r="Z167" s="11">
        <f t="shared" si="343"/>
        <v>1.1658693531252685E-2</v>
      </c>
      <c r="AA167" s="11">
        <f t="shared" si="343"/>
        <v>1.1313645967322096E-2</v>
      </c>
      <c r="AB167" s="11">
        <f t="shared" si="343"/>
        <v>1.1225994169142038E-2</v>
      </c>
      <c r="AC167" s="11">
        <f t="shared" ref="AC167" si="344">AC70/AC$153*4</f>
        <v>1.177207829733172E-2</v>
      </c>
      <c r="AG167" s="112"/>
    </row>
    <row r="168" spans="1:33" x14ac:dyDescent="0.35">
      <c r="A168" s="1" t="s">
        <v>201</v>
      </c>
      <c r="B168" s="23">
        <f t="shared" si="341"/>
        <v>0</v>
      </c>
      <c r="C168" s="23">
        <f t="shared" si="341"/>
        <v>0</v>
      </c>
      <c r="D168" s="23">
        <f t="shared" si="341"/>
        <v>0</v>
      </c>
      <c r="E168" s="23">
        <f t="shared" si="341"/>
        <v>0</v>
      </c>
      <c r="F168" s="23">
        <f t="shared" si="341"/>
        <v>0</v>
      </c>
      <c r="G168" s="23">
        <f t="shared" si="341"/>
        <v>-2.4954377714097573E-3</v>
      </c>
      <c r="H168" s="23">
        <f t="shared" si="341"/>
        <v>0</v>
      </c>
      <c r="I168" s="23">
        <f t="shared" ref="I168" si="345">I71/I$153</f>
        <v>0</v>
      </c>
      <c r="J168" s="23"/>
      <c r="N168" s="23">
        <f t="shared" ref="N168:AB168" si="346">N71/N$153*4</f>
        <v>0</v>
      </c>
      <c r="O168" s="23">
        <f t="shared" si="346"/>
        <v>0</v>
      </c>
      <c r="P168" s="23">
        <f t="shared" si="346"/>
        <v>0</v>
      </c>
      <c r="Q168" s="23">
        <f t="shared" si="346"/>
        <v>0</v>
      </c>
      <c r="R168" s="23">
        <f t="shared" si="346"/>
        <v>0</v>
      </c>
      <c r="S168" s="23">
        <f t="shared" si="346"/>
        <v>-1.537377657147194E-3</v>
      </c>
      <c r="T168" s="23">
        <f t="shared" si="346"/>
        <v>0</v>
      </c>
      <c r="U168" s="23">
        <f t="shared" si="346"/>
        <v>-9.858013585233907E-3</v>
      </c>
      <c r="V168" s="23">
        <f t="shared" si="346"/>
        <v>0</v>
      </c>
      <c r="W168" s="23">
        <f t="shared" si="346"/>
        <v>0</v>
      </c>
      <c r="X168" s="23">
        <f t="shared" si="346"/>
        <v>0</v>
      </c>
      <c r="Y168" s="23">
        <f t="shared" si="346"/>
        <v>0</v>
      </c>
      <c r="Z168" s="23">
        <f t="shared" si="346"/>
        <v>0</v>
      </c>
      <c r="AA168" s="23">
        <f t="shared" si="346"/>
        <v>0</v>
      </c>
      <c r="AB168" s="23">
        <f t="shared" si="346"/>
        <v>0</v>
      </c>
      <c r="AC168" s="23">
        <f t="shared" ref="AC168" si="347">AC71/AC$153*4</f>
        <v>0</v>
      </c>
      <c r="AG168" s="112"/>
    </row>
    <row r="169" spans="1:33" x14ac:dyDescent="0.35">
      <c r="A169" s="2" t="s">
        <v>126</v>
      </c>
      <c r="B169" s="54">
        <f t="shared" ref="B169:G169" si="348">B166-B167-B168</f>
        <v>8.4418117524030223E-3</v>
      </c>
      <c r="C169" s="54">
        <f t="shared" si="348"/>
        <v>1.3591061642380758E-2</v>
      </c>
      <c r="D169" s="54">
        <f t="shared" si="348"/>
        <v>2.3774538095728291E-2</v>
      </c>
      <c r="E169" s="54">
        <f t="shared" si="348"/>
        <v>2.668753307552248E-2</v>
      </c>
      <c r="F169" s="54">
        <f t="shared" si="348"/>
        <v>2.5065691625562977E-2</v>
      </c>
      <c r="G169" s="54">
        <f t="shared" si="348"/>
        <v>3.8657785597587022E-2</v>
      </c>
      <c r="H169" s="54">
        <f t="shared" ref="H169:I169" si="349">H166-H167-H168</f>
        <v>3.8508275774122726E-2</v>
      </c>
      <c r="I169" s="54">
        <f t="shared" si="349"/>
        <v>3.7573718344412359E-2</v>
      </c>
      <c r="J169" s="54"/>
      <c r="N169" s="54">
        <f t="shared" ref="N169:U169" si="350">N166-N167-N168</f>
        <v>4.3029936473064093E-2</v>
      </c>
      <c r="O169" s="54">
        <f t="shared" si="350"/>
        <v>1.5452010936280933E-2</v>
      </c>
      <c r="P169" s="54">
        <f t="shared" si="350"/>
        <v>1.6462987769952808E-2</v>
      </c>
      <c r="Q169" s="54">
        <f t="shared" si="350"/>
        <v>2.9380504295672027E-2</v>
      </c>
      <c r="R169" s="54">
        <f t="shared" si="350"/>
        <v>3.0902546746692936E-2</v>
      </c>
      <c r="S169" s="54">
        <f t="shared" si="350"/>
        <v>3.8970352171312526E-2</v>
      </c>
      <c r="T169" s="54">
        <f>T166-T167-T168</f>
        <v>3.9671544106709096E-2</v>
      </c>
      <c r="U169" s="54">
        <f t="shared" si="350"/>
        <v>4.9391003218851114E-2</v>
      </c>
      <c r="V169" s="54">
        <f t="shared" ref="V169" si="351">V166-V167-V168</f>
        <v>3.8629346774369064E-2</v>
      </c>
      <c r="W169" s="54">
        <f t="shared" ref="W169:AB169" si="352">W166-W167-W168</f>
        <v>3.7915479930447978E-2</v>
      </c>
      <c r="X169" s="54">
        <f t="shared" si="352"/>
        <v>3.7577596989339927E-2</v>
      </c>
      <c r="Y169" s="54">
        <f t="shared" si="352"/>
        <v>3.854611353804456E-2</v>
      </c>
      <c r="Z169" s="54">
        <f t="shared" si="352"/>
        <v>3.8543725572376515E-2</v>
      </c>
      <c r="AA169" s="54">
        <f t="shared" si="352"/>
        <v>3.7982036890746064E-2</v>
      </c>
      <c r="AB169" s="54">
        <f t="shared" si="352"/>
        <v>3.6988716930270983E-2</v>
      </c>
      <c r="AC169" s="54">
        <f t="shared" ref="AC169" si="353">AC166-AC167-AC168</f>
        <v>3.6019219442248195E-2</v>
      </c>
      <c r="AD169" s="79"/>
      <c r="AG169" s="112"/>
    </row>
    <row r="170" spans="1:33" x14ac:dyDescent="0.35">
      <c r="A170" s="1" t="s">
        <v>89</v>
      </c>
      <c r="B170" s="19">
        <f t="shared" ref="B170:G170" si="354">B153/B155</f>
        <v>3.4367952960707155</v>
      </c>
      <c r="C170" s="19">
        <f t="shared" si="354"/>
        <v>3.7270434296589627</v>
      </c>
      <c r="D170" s="19">
        <f t="shared" si="354"/>
        <v>4.5365926149578488</v>
      </c>
      <c r="E170" s="19">
        <f t="shared" si="354"/>
        <v>4.0943535654119563</v>
      </c>
      <c r="F170" s="19">
        <f t="shared" si="354"/>
        <v>3.4530989827435015</v>
      </c>
      <c r="G170" s="19">
        <f t="shared" si="354"/>
        <v>3.2590477106032436</v>
      </c>
      <c r="H170" s="19">
        <f t="shared" ref="H170:I170" si="355">H153/H155</f>
        <v>3.496517865989742</v>
      </c>
      <c r="I170" s="19">
        <f t="shared" si="355"/>
        <v>4.1314151127341567</v>
      </c>
      <c r="J170" s="19"/>
      <c r="N170" s="19">
        <f t="shared" ref="N170:U170" si="356">N153/N155</f>
        <v>3.7664052900692631</v>
      </c>
      <c r="O170" s="19">
        <f t="shared" si="356"/>
        <v>3.7851312677527571</v>
      </c>
      <c r="P170" s="19">
        <f t="shared" si="356"/>
        <v>3.7166770270991414</v>
      </c>
      <c r="Q170" s="19">
        <f t="shared" si="356"/>
        <v>3.4451930500603205</v>
      </c>
      <c r="R170" s="19">
        <f t="shared" si="356"/>
        <v>3.2483237764434785</v>
      </c>
      <c r="S170" s="19">
        <f t="shared" si="356"/>
        <v>3.1981397606626776</v>
      </c>
      <c r="T170" s="19">
        <f>T153/T155</f>
        <v>3.1161666518653668</v>
      </c>
      <c r="U170" s="19">
        <f t="shared" si="356"/>
        <v>3.1613942820155851</v>
      </c>
      <c r="V170" s="19">
        <f t="shared" ref="V170:W170" si="357">V153/V155</f>
        <v>3.3149210115173449</v>
      </c>
      <c r="W170" s="19">
        <f t="shared" si="357"/>
        <v>3.4559944953131696</v>
      </c>
      <c r="X170" s="19">
        <f t="shared" ref="X170:Y170" si="358">X153/X155</f>
        <v>3.6418601441081391</v>
      </c>
      <c r="Y170" s="19">
        <f t="shared" si="358"/>
        <v>3.7268190064753632</v>
      </c>
      <c r="Z170" s="19">
        <f t="shared" ref="Z170:AA170" si="359">Z153/Z155</f>
        <v>3.8929466197018381</v>
      </c>
      <c r="AA170" s="19">
        <f t="shared" si="359"/>
        <v>4.1028577839853364</v>
      </c>
      <c r="AB170" s="19">
        <f t="shared" ref="AB170" si="360">AB153/AB155</f>
        <v>4.2848869533919007</v>
      </c>
      <c r="AC170" s="19">
        <f>AC153/AC155</f>
        <v>4.4634753324413481</v>
      </c>
      <c r="AG170" s="124"/>
    </row>
    <row r="171" spans="1:33" s="2" customFormat="1" x14ac:dyDescent="0.35">
      <c r="A171" s="2" t="s">
        <v>127</v>
      </c>
      <c r="B171" s="13">
        <f t="shared" ref="B171:G171" si="361">B169*B170</f>
        <v>2.901277892097319E-2</v>
      </c>
      <c r="C171" s="13">
        <f t="shared" si="361"/>
        <v>5.0654476996325151E-2</v>
      </c>
      <c r="D171" s="13">
        <f t="shared" si="361"/>
        <v>0.107855393949115</v>
      </c>
      <c r="E171" s="13">
        <f t="shared" si="361"/>
        <v>0.10926819619981498</v>
      </c>
      <c r="F171" s="13">
        <f t="shared" si="361"/>
        <v>8.6554314253993819E-2</v>
      </c>
      <c r="G171" s="13">
        <f t="shared" si="361"/>
        <v>0.12598756764880703</v>
      </c>
      <c r="H171" s="13">
        <f t="shared" ref="H171:I171" si="362">H169*H170</f>
        <v>0.13464487423268007</v>
      </c>
      <c r="I171" s="13">
        <f t="shared" si="362"/>
        <v>0.15523262780972183</v>
      </c>
      <c r="J171" s="13"/>
      <c r="N171" s="13">
        <f t="shared" ref="N171:U171" si="363">N169*N170</f>
        <v>0.16206818036349294</v>
      </c>
      <c r="O171" s="13">
        <f t="shared" si="363"/>
        <v>5.8487889744574514E-2</v>
      </c>
      <c r="P171" s="12">
        <f t="shared" si="363"/>
        <v>6.1187608441997728E-2</v>
      </c>
      <c r="Q171" s="13">
        <f t="shared" si="363"/>
        <v>0.10122150920671666</v>
      </c>
      <c r="R171" s="13">
        <f t="shared" si="363"/>
        <v>0.10038147734993873</v>
      </c>
      <c r="S171" s="12">
        <f t="shared" si="363"/>
        <v>0.1246326327661017</v>
      </c>
      <c r="T171" s="12">
        <f>T169*T170</f>
        <v>0.1236231427733329</v>
      </c>
      <c r="U171" s="12">
        <f t="shared" si="363"/>
        <v>0.15614443515908927</v>
      </c>
      <c r="V171" s="12">
        <f t="shared" ref="V171:W171" si="364">V169*V170</f>
        <v>0.12805323328354579</v>
      </c>
      <c r="W171" s="12">
        <f t="shared" si="364"/>
        <v>0.13103568992678516</v>
      </c>
      <c r="X171" s="12">
        <f t="shared" ref="X171" si="365">X169*X170</f>
        <v>0.13685235278683508</v>
      </c>
      <c r="Y171" s="12">
        <f>Y169*Y170</f>
        <v>0.14365438855934179</v>
      </c>
      <c r="Z171" s="12">
        <f>Z169*Z170</f>
        <v>0.15004866617769844</v>
      </c>
      <c r="AA171" s="12">
        <f>AA169*AA170</f>
        <v>0.1558348957088157</v>
      </c>
      <c r="AB171" s="12">
        <f>AB169*AB170</f>
        <v>0.15849247059722424</v>
      </c>
      <c r="AC171" s="12">
        <f>AC169*AC170</f>
        <v>0.16077089747426662</v>
      </c>
      <c r="AD171" s="120"/>
      <c r="AE171" s="70"/>
      <c r="AF171" s="70"/>
      <c r="AG171" s="122"/>
    </row>
    <row r="172" spans="1:33" s="2" customFormat="1" x14ac:dyDescent="0.35">
      <c r="A172" s="2" t="s">
        <v>208</v>
      </c>
      <c r="B172" s="13"/>
      <c r="C172" s="13"/>
      <c r="D172" s="13"/>
      <c r="E172" s="13"/>
      <c r="F172" s="13">
        <f>F76/F153</f>
        <v>2.5065691625562981E-2</v>
      </c>
      <c r="G172" s="13">
        <f>G76/G153</f>
        <v>3.616234782617727E-2</v>
      </c>
      <c r="H172" s="13">
        <f>H76/H153</f>
        <v>3.8508275774122726E-2</v>
      </c>
      <c r="I172" s="13">
        <f>I76/I153</f>
        <v>3.7573718344412359E-2</v>
      </c>
      <c r="J172" s="13"/>
      <c r="N172" s="13"/>
      <c r="O172" s="13"/>
      <c r="P172" s="34"/>
      <c r="Q172" s="13"/>
      <c r="R172" s="13"/>
      <c r="S172" s="13">
        <f>S76/S153*4</f>
        <v>3.7432974514165329E-2</v>
      </c>
      <c r="T172" s="34"/>
      <c r="U172" s="13">
        <f t="shared" ref="U172:AB172" si="366">U76/U153*4</f>
        <v>3.9532989633617205E-2</v>
      </c>
      <c r="V172" s="13">
        <f t="shared" si="366"/>
        <v>3.8629346774369071E-2</v>
      </c>
      <c r="W172" s="13">
        <f t="shared" si="366"/>
        <v>3.7915479930447984E-2</v>
      </c>
      <c r="X172" s="13">
        <f t="shared" si="366"/>
        <v>3.7577596989339927E-2</v>
      </c>
      <c r="Y172" s="13">
        <f t="shared" si="366"/>
        <v>3.8546113538044553E-2</v>
      </c>
      <c r="Z172" s="13">
        <f t="shared" si="366"/>
        <v>3.8543725572376515E-2</v>
      </c>
      <c r="AA172" s="13">
        <f t="shared" si="366"/>
        <v>3.7982036890746057E-2</v>
      </c>
      <c r="AB172" s="13">
        <f t="shared" si="366"/>
        <v>3.6988716930270983E-2</v>
      </c>
      <c r="AC172" s="13">
        <f t="shared" ref="AC172" si="367">AC76/AC153*4</f>
        <v>3.6019219442248195E-2</v>
      </c>
      <c r="AD172" s="70"/>
      <c r="AE172" s="70"/>
      <c r="AF172" s="70"/>
      <c r="AG172" s="1"/>
    </row>
    <row r="173" spans="1:33" s="2" customFormat="1" x14ac:dyDescent="0.35">
      <c r="A173" s="2" t="s">
        <v>209</v>
      </c>
      <c r="B173" s="13"/>
      <c r="C173" s="13"/>
      <c r="D173" s="13"/>
      <c r="E173" s="13"/>
      <c r="F173" s="13">
        <f>F76/F155</f>
        <v>8.6554314253993833E-2</v>
      </c>
      <c r="G173" s="13">
        <f>G76/G155</f>
        <v>0.11785481689294121</v>
      </c>
      <c r="H173" s="13">
        <f>H76/H155</f>
        <v>0.1346448742326801</v>
      </c>
      <c r="I173" s="13">
        <f>I76/I155</f>
        <v>0.15523262780972183</v>
      </c>
      <c r="J173" s="13"/>
      <c r="N173" s="13"/>
      <c r="O173" s="13"/>
      <c r="P173" s="34"/>
      <c r="Q173" s="13"/>
      <c r="R173" s="13"/>
      <c r="S173" s="13">
        <f>S76/S155*4</f>
        <v>0.1197158841536248</v>
      </c>
      <c r="T173" s="34"/>
      <c r="U173" s="13">
        <f t="shared" ref="U173:AB173" si="368">U76/U155*4</f>
        <v>0.12497936737869883</v>
      </c>
      <c r="V173" s="13">
        <f t="shared" si="368"/>
        <v>0.12805323328354581</v>
      </c>
      <c r="W173" s="13">
        <f t="shared" si="368"/>
        <v>0.13103568992678519</v>
      </c>
      <c r="X173" s="13">
        <f t="shared" si="368"/>
        <v>0.13685235278683508</v>
      </c>
      <c r="Y173" s="13">
        <f t="shared" si="368"/>
        <v>0.14365438855934176</v>
      </c>
      <c r="Z173" s="13">
        <f t="shared" si="368"/>
        <v>0.15004866617769844</v>
      </c>
      <c r="AA173" s="13">
        <f t="shared" si="368"/>
        <v>0.15583489570881565</v>
      </c>
      <c r="AB173" s="13">
        <f t="shared" si="368"/>
        <v>0.15849247059722424</v>
      </c>
      <c r="AC173" s="13">
        <f t="shared" ref="AC173" si="369">AC76/AC155*4</f>
        <v>0.16077089747426662</v>
      </c>
      <c r="AD173" s="70"/>
      <c r="AE173" s="70"/>
      <c r="AF173" s="70"/>
      <c r="AG173" s="1"/>
    </row>
    <row r="174" spans="1:33" x14ac:dyDescent="0.35">
      <c r="U174" s="7"/>
      <c r="V174" s="7"/>
      <c r="W174" s="7"/>
      <c r="X174" s="7"/>
      <c r="Y174" s="7"/>
      <c r="Z174" s="7"/>
      <c r="AA174" s="7"/>
      <c r="AB174" s="7"/>
      <c r="AC174" s="7"/>
    </row>
    <row r="175" spans="1:33" s="5" customFormat="1" x14ac:dyDescent="0.35">
      <c r="A175" s="5" t="s">
        <v>140</v>
      </c>
      <c r="B175" s="22" t="str">
        <f t="shared" ref="B175:I175" si="370">B$1</f>
        <v>FY17</v>
      </c>
      <c r="C175" s="22" t="str">
        <f t="shared" si="370"/>
        <v>FY18</v>
      </c>
      <c r="D175" s="22" t="str">
        <f t="shared" si="370"/>
        <v>FY19</v>
      </c>
      <c r="E175" s="22" t="str">
        <f t="shared" si="370"/>
        <v>FY20</v>
      </c>
      <c r="F175" s="22" t="str">
        <f t="shared" si="370"/>
        <v>FY21</v>
      </c>
      <c r="G175" s="22" t="str">
        <f t="shared" si="370"/>
        <v>FY22</v>
      </c>
      <c r="H175" s="22" t="str">
        <f t="shared" si="370"/>
        <v>FY23</v>
      </c>
      <c r="I175" s="22" t="str">
        <f t="shared" si="370"/>
        <v>FY24</v>
      </c>
      <c r="J175" s="22"/>
      <c r="N175" s="6" t="str">
        <f t="shared" ref="N175:AE175" si="371">N$1</f>
        <v>Q1FY21</v>
      </c>
      <c r="O175" s="6" t="str">
        <f t="shared" si="371"/>
        <v>Q2FY21</v>
      </c>
      <c r="P175" s="80" t="str">
        <f t="shared" si="371"/>
        <v>Q3FY21</v>
      </c>
      <c r="Q175" s="6" t="str">
        <f t="shared" si="371"/>
        <v>Q4FY21</v>
      </c>
      <c r="R175" s="6" t="str">
        <f t="shared" si="371"/>
        <v>Q1FY22</v>
      </c>
      <c r="S175" s="80" t="str">
        <f t="shared" si="371"/>
        <v>Q2FY22</v>
      </c>
      <c r="T175" s="80" t="str">
        <f t="shared" si="371"/>
        <v>Q3FY22</v>
      </c>
      <c r="U175" s="80" t="str">
        <f t="shared" si="371"/>
        <v>Q4FY22</v>
      </c>
      <c r="V175" s="80" t="str">
        <f t="shared" si="371"/>
        <v>Q1FY23</v>
      </c>
      <c r="W175" s="80" t="str">
        <f t="shared" si="371"/>
        <v>Q2FY23</v>
      </c>
      <c r="X175" s="80" t="str">
        <f t="shared" si="371"/>
        <v>Q3FY23</v>
      </c>
      <c r="Y175" s="80" t="str">
        <f t="shared" si="371"/>
        <v>Q4FY23</v>
      </c>
      <c r="Z175" s="80" t="str">
        <f t="shared" si="371"/>
        <v>Q1FY24</v>
      </c>
      <c r="AA175" s="80" t="str">
        <f t="shared" si="371"/>
        <v>Q2FY24</v>
      </c>
      <c r="AB175" s="80" t="str">
        <f t="shared" si="371"/>
        <v>Q3FY24</v>
      </c>
      <c r="AC175" s="80" t="str">
        <f t="shared" si="371"/>
        <v>Q4FY24</v>
      </c>
      <c r="AD175" s="6" t="str">
        <f t="shared" si="371"/>
        <v>y-o-y</v>
      </c>
      <c r="AE175" s="6" t="str">
        <f t="shared" si="371"/>
        <v>q-o-q</v>
      </c>
      <c r="AF175" s="6"/>
    </row>
    <row r="176" spans="1:33" s="2" customFormat="1" x14ac:dyDescent="0.35">
      <c r="A176" s="2" t="s">
        <v>97</v>
      </c>
      <c r="B176" s="4" t="str">
        <f t="shared" ref="B176:H176" si="372">B1</f>
        <v>FY17</v>
      </c>
      <c r="C176" s="4" t="str">
        <f t="shared" si="372"/>
        <v>FY18</v>
      </c>
      <c r="D176" s="4" t="str">
        <f t="shared" si="372"/>
        <v>FY19</v>
      </c>
      <c r="E176" s="4" t="str">
        <f t="shared" si="372"/>
        <v>FY20</v>
      </c>
      <c r="F176" s="4" t="str">
        <f t="shared" si="372"/>
        <v>FY21</v>
      </c>
      <c r="G176" s="4" t="str">
        <f t="shared" si="372"/>
        <v>FY22</v>
      </c>
      <c r="H176" s="4" t="str">
        <f t="shared" si="372"/>
        <v>FY23</v>
      </c>
      <c r="I176" s="4" t="str">
        <f t="shared" ref="I176" si="373">I1</f>
        <v>FY24</v>
      </c>
      <c r="J176" s="4"/>
      <c r="N176" s="4"/>
      <c r="O176" s="4"/>
      <c r="P176" s="34"/>
      <c r="Q176" s="4"/>
      <c r="R176" s="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70"/>
      <c r="AE176" s="70"/>
      <c r="AF176" s="70"/>
    </row>
    <row r="177" spans="1:33" x14ac:dyDescent="0.35">
      <c r="A177" s="1" t="s">
        <v>0</v>
      </c>
      <c r="B177" s="26">
        <v>8196.7800000000007</v>
      </c>
      <c r="C177" s="26">
        <v>13022.14</v>
      </c>
      <c r="D177" s="26">
        <v>22486.95</v>
      </c>
      <c r="E177" s="26">
        <v>33230.639999999999</v>
      </c>
      <c r="F177" s="26">
        <v>38258.51</v>
      </c>
      <c r="G177" s="26">
        <v>48843.519999999997</v>
      </c>
      <c r="H177" s="26">
        <f>Y177</f>
        <v>62903.83</v>
      </c>
      <c r="I177" s="26">
        <f>AC177</f>
        <v>82938.05</v>
      </c>
      <c r="J177" s="30"/>
      <c r="N177" s="26">
        <v>33308.239999999998</v>
      </c>
      <c r="O177" s="26">
        <v>34348.949999999997</v>
      </c>
      <c r="P177" s="26">
        <v>36408.730000000003</v>
      </c>
      <c r="Q177" s="26">
        <f>F177</f>
        <v>38258.51</v>
      </c>
      <c r="R177" s="26">
        <v>39674.839999999997</v>
      </c>
      <c r="S177" s="26">
        <v>42497.17</v>
      </c>
      <c r="T177" s="26">
        <v>45699.93</v>
      </c>
      <c r="U177" s="26">
        <f>G177</f>
        <v>48843.519999999997</v>
      </c>
      <c r="V177" s="26">
        <v>52534.68</v>
      </c>
      <c r="W177" s="26">
        <v>55873.08</v>
      </c>
      <c r="X177" s="26">
        <v>59489.46</v>
      </c>
      <c r="Y177" s="26">
        <v>62903.83</v>
      </c>
      <c r="Z177" s="26">
        <v>67648.47</v>
      </c>
      <c r="AA177" s="26">
        <v>72417.19</v>
      </c>
      <c r="AB177" s="26">
        <v>77552.23</v>
      </c>
      <c r="AC177" s="26">
        <v>82938.05</v>
      </c>
      <c r="AD177" s="69">
        <f>IFERROR(AC177/Y177-1,"")</f>
        <v>0.31848966907102483</v>
      </c>
      <c r="AE177" s="69">
        <f>IFERROR(AC177/AB177-1,"")</f>
        <v>6.9447648378389681E-2</v>
      </c>
      <c r="AF177" s="75"/>
      <c r="AG177" s="122"/>
    </row>
    <row r="178" spans="1:33" x14ac:dyDescent="0.35">
      <c r="A178" s="1" t="s">
        <v>98</v>
      </c>
      <c r="B178" s="26">
        <v>42.42</v>
      </c>
      <c r="C178" s="26">
        <v>73.86</v>
      </c>
      <c r="D178" s="26">
        <v>249.86</v>
      </c>
      <c r="E178" s="26">
        <v>347.45</v>
      </c>
      <c r="F178" s="26">
        <v>377.66</v>
      </c>
      <c r="G178" s="26">
        <v>519.86</v>
      </c>
      <c r="H178" s="26">
        <f t="shared" ref="H178:H180" si="374">Y178</f>
        <v>691.85</v>
      </c>
      <c r="I178" s="26">
        <f t="shared" ref="I178:I180" si="375">AC178</f>
        <v>963.19</v>
      </c>
      <c r="J178" s="30"/>
      <c r="N178" s="26">
        <v>350.29</v>
      </c>
      <c r="O178" s="26">
        <v>350.49</v>
      </c>
      <c r="P178" s="26">
        <v>354.66</v>
      </c>
      <c r="Q178" s="26">
        <f>F178</f>
        <v>377.66</v>
      </c>
      <c r="R178" s="26">
        <v>391.63</v>
      </c>
      <c r="S178" s="26">
        <v>423.37</v>
      </c>
      <c r="T178" s="26">
        <v>467.28</v>
      </c>
      <c r="U178" s="26">
        <f>G178</f>
        <v>519.86</v>
      </c>
      <c r="V178" s="26">
        <v>503.85</v>
      </c>
      <c r="W178" s="26">
        <v>543.54</v>
      </c>
      <c r="X178" s="26">
        <v>625.1</v>
      </c>
      <c r="Y178" s="26">
        <v>691.85</v>
      </c>
      <c r="Z178" s="26">
        <v>751.81</v>
      </c>
      <c r="AA178" s="26">
        <v>814.94</v>
      </c>
      <c r="AB178" s="26">
        <v>908.18</v>
      </c>
      <c r="AC178" s="26">
        <v>963.19</v>
      </c>
      <c r="AD178" s="69">
        <f>IFERROR(AC178/Y178-1,"")</f>
        <v>0.39219483992194837</v>
      </c>
      <c r="AE178" s="69">
        <f>IFERROR(AC178/AB178-1,"")</f>
        <v>6.0571692836222102E-2</v>
      </c>
      <c r="AF178" s="75"/>
      <c r="AG178" s="122"/>
    </row>
    <row r="179" spans="1:33" x14ac:dyDescent="0.35">
      <c r="A179" s="1" t="s">
        <v>99</v>
      </c>
      <c r="B179" s="26">
        <v>233.96</v>
      </c>
      <c r="C179" s="26">
        <v>287.39999999999998</v>
      </c>
      <c r="D179" s="26">
        <v>858.27</v>
      </c>
      <c r="E179" s="26">
        <v>1843.31</v>
      </c>
      <c r="F179" s="26">
        <v>2296.96</v>
      </c>
      <c r="G179" s="26">
        <v>4213.53</v>
      </c>
      <c r="H179" s="26">
        <f t="shared" si="374"/>
        <v>8214.4</v>
      </c>
      <c r="I179" s="26">
        <f t="shared" si="375"/>
        <v>13019.33</v>
      </c>
      <c r="J179" s="30"/>
      <c r="N179" s="26">
        <v>1831.14</v>
      </c>
      <c r="O179" s="26">
        <v>1897.96</v>
      </c>
      <c r="P179" s="26">
        <v>2045.06</v>
      </c>
      <c r="Q179" s="26">
        <f>F179</f>
        <v>2296.96</v>
      </c>
      <c r="R179" s="26">
        <v>2467.36</v>
      </c>
      <c r="S179" s="26">
        <v>2935.9</v>
      </c>
      <c r="T179" s="26">
        <v>3511.51</v>
      </c>
      <c r="U179" s="26">
        <f>G179</f>
        <v>4213.53</v>
      </c>
      <c r="V179" s="26">
        <v>5068.82</v>
      </c>
      <c r="W179" s="26">
        <v>6137.08</v>
      </c>
      <c r="X179" s="26">
        <v>7211.57</v>
      </c>
      <c r="Y179" s="26">
        <v>8214.4</v>
      </c>
      <c r="Z179" s="26">
        <v>9200.57</v>
      </c>
      <c r="AA179" s="26">
        <v>10283.83</v>
      </c>
      <c r="AB179" s="26">
        <v>11598.18</v>
      </c>
      <c r="AC179" s="26">
        <v>13019.33</v>
      </c>
      <c r="AD179" s="69">
        <f>IFERROR(AC179/Y179-1,"")</f>
        <v>0.58493986170627199</v>
      </c>
      <c r="AE179" s="69">
        <f>IFERROR(AC179/AB179-1,"")</f>
        <v>0.12253215590721989</v>
      </c>
      <c r="AF179" s="75"/>
      <c r="AG179" s="122"/>
    </row>
    <row r="180" spans="1:33" x14ac:dyDescent="0.35">
      <c r="A180" s="1" t="s">
        <v>6</v>
      </c>
      <c r="B180" s="26">
        <v>0</v>
      </c>
      <c r="C180" s="26">
        <v>175.92</v>
      </c>
      <c r="D180" s="26">
        <v>840.66</v>
      </c>
      <c r="E180" s="26">
        <v>762.2</v>
      </c>
      <c r="F180" s="26">
        <v>477.59</v>
      </c>
      <c r="G180" s="26">
        <v>226.43</v>
      </c>
      <c r="H180" s="26">
        <f t="shared" si="374"/>
        <v>169.6</v>
      </c>
      <c r="I180" s="26">
        <f t="shared" si="375"/>
        <v>57.76</v>
      </c>
      <c r="J180" s="30"/>
      <c r="N180" s="26">
        <v>735.46</v>
      </c>
      <c r="O180" s="26">
        <v>702.72</v>
      </c>
      <c r="P180" s="26">
        <v>598.02</v>
      </c>
      <c r="Q180" s="26">
        <f>F180</f>
        <v>477.59</v>
      </c>
      <c r="R180" s="26">
        <v>408.85</v>
      </c>
      <c r="S180" s="26">
        <v>313.83999999999997</v>
      </c>
      <c r="T180" s="26">
        <v>261.76</v>
      </c>
      <c r="U180" s="26">
        <f>G180</f>
        <v>226.43</v>
      </c>
      <c r="V180" s="26">
        <v>211.48</v>
      </c>
      <c r="W180" s="26">
        <v>200.67</v>
      </c>
      <c r="X180" s="26">
        <v>185.65</v>
      </c>
      <c r="Y180" s="26">
        <v>169.6</v>
      </c>
      <c r="Z180" s="26">
        <v>158.07</v>
      </c>
      <c r="AA180" s="26">
        <v>138.49</v>
      </c>
      <c r="AB180" s="26">
        <v>78.849999999999994</v>
      </c>
      <c r="AC180" s="26">
        <v>57.76</v>
      </c>
      <c r="AD180" s="69">
        <f>IFERROR(AC180/Y180-1,"")</f>
        <v>-0.65943396226415096</v>
      </c>
      <c r="AE180" s="69">
        <f>IFERROR(AC180/AB180-1,"")</f>
        <v>-0.26746987951807222</v>
      </c>
      <c r="AF180" s="75"/>
      <c r="AG180" s="122"/>
    </row>
    <row r="181" spans="1:33" s="2" customFormat="1" x14ac:dyDescent="0.35">
      <c r="A181" s="2" t="s">
        <v>35</v>
      </c>
      <c r="B181" s="4">
        <f t="shared" ref="B181:G181" si="376">SUM(B177:B180)</f>
        <v>8473.16</v>
      </c>
      <c r="C181" s="4">
        <f t="shared" si="376"/>
        <v>13559.32</v>
      </c>
      <c r="D181" s="4">
        <f t="shared" si="376"/>
        <v>24435.74</v>
      </c>
      <c r="E181" s="4">
        <f t="shared" si="376"/>
        <v>36183.599999999991</v>
      </c>
      <c r="F181" s="4">
        <f t="shared" si="376"/>
        <v>41410.720000000001</v>
      </c>
      <c r="G181" s="4">
        <f t="shared" si="376"/>
        <v>53803.34</v>
      </c>
      <c r="H181" s="4">
        <f t="shared" ref="H181:I181" si="377">SUM(H177:H180)</f>
        <v>71979.680000000008</v>
      </c>
      <c r="I181" s="4">
        <f t="shared" si="377"/>
        <v>96978.33</v>
      </c>
      <c r="J181" s="4"/>
      <c r="N181" s="4">
        <f t="shared" ref="N181:U181" si="378">SUM(N177:N180)</f>
        <v>36225.129999999997</v>
      </c>
      <c r="O181" s="4">
        <f t="shared" si="378"/>
        <v>37300.119999999995</v>
      </c>
      <c r="P181" s="4">
        <f t="shared" si="378"/>
        <v>39406.47</v>
      </c>
      <c r="Q181" s="4">
        <f t="shared" si="378"/>
        <v>41410.720000000001</v>
      </c>
      <c r="R181" s="4">
        <f t="shared" si="378"/>
        <v>42942.679999999993</v>
      </c>
      <c r="S181" s="4">
        <f t="shared" si="378"/>
        <v>46170.28</v>
      </c>
      <c r="T181" s="4">
        <f>SUM(T177:T180)</f>
        <v>49940.480000000003</v>
      </c>
      <c r="U181" s="4">
        <f t="shared" si="378"/>
        <v>53803.34</v>
      </c>
      <c r="V181" s="4">
        <f t="shared" ref="V181" si="379">SUM(V177:V180)</f>
        <v>58318.83</v>
      </c>
      <c r="W181" s="4">
        <f t="shared" ref="W181:AB181" si="380">SUM(W177:W180)</f>
        <v>62754.37</v>
      </c>
      <c r="X181" s="4">
        <f t="shared" si="380"/>
        <v>67511.78</v>
      </c>
      <c r="Y181" s="4">
        <f t="shared" si="380"/>
        <v>71979.680000000008</v>
      </c>
      <c r="Z181" s="4">
        <f t="shared" si="380"/>
        <v>77758.920000000013</v>
      </c>
      <c r="AA181" s="4">
        <f t="shared" si="380"/>
        <v>83654.450000000012</v>
      </c>
      <c r="AB181" s="4">
        <f t="shared" si="380"/>
        <v>90137.44</v>
      </c>
      <c r="AC181" s="4">
        <f>SUM(AC177:AC180)</f>
        <v>96978.33</v>
      </c>
      <c r="AD181" s="71">
        <f>IFERROR(AC181/Y181-1,"")</f>
        <v>0.34730148842006514</v>
      </c>
      <c r="AE181" s="71">
        <f>IFERROR(AC181/AB181-1,"")</f>
        <v>7.5893990332984718E-2</v>
      </c>
      <c r="AF181" s="76"/>
    </row>
    <row r="182" spans="1:33" s="2" customFormat="1" x14ac:dyDescent="0.35">
      <c r="A182" s="2" t="s">
        <v>137</v>
      </c>
      <c r="B182" s="12">
        <f t="shared" ref="B182:G182" si="381">B177/B181</f>
        <v>0.96738170883117991</v>
      </c>
      <c r="C182" s="12">
        <f t="shared" si="381"/>
        <v>0.96038296905744536</v>
      </c>
      <c r="D182" s="12">
        <f t="shared" si="381"/>
        <v>0.92024837389823266</v>
      </c>
      <c r="E182" s="12">
        <f t="shared" si="381"/>
        <v>0.91838954664544181</v>
      </c>
      <c r="F182" s="12">
        <f t="shared" si="381"/>
        <v>0.92387937229780115</v>
      </c>
      <c r="G182" s="12">
        <f t="shared" si="381"/>
        <v>0.90781576013682419</v>
      </c>
      <c r="H182" s="12">
        <f t="shared" ref="H182:I182" si="382">H177/H181</f>
        <v>0.87391094264381275</v>
      </c>
      <c r="I182" s="12">
        <f t="shared" si="382"/>
        <v>0.85522250176920966</v>
      </c>
      <c r="J182" s="12"/>
      <c r="N182" s="12">
        <f t="shared" ref="N182:U182" si="383">N177/N181</f>
        <v>0.91947882588689123</v>
      </c>
      <c r="O182" s="12">
        <f t="shared" si="383"/>
        <v>0.92088041539812748</v>
      </c>
      <c r="P182" s="12">
        <f t="shared" si="383"/>
        <v>0.92392772049868976</v>
      </c>
      <c r="Q182" s="12">
        <f t="shared" si="383"/>
        <v>0.92387937229780115</v>
      </c>
      <c r="R182" s="12">
        <f t="shared" si="383"/>
        <v>0.92390228090095916</v>
      </c>
      <c r="S182" s="12">
        <f t="shared" si="383"/>
        <v>0.92044427714105259</v>
      </c>
      <c r="T182" s="12">
        <f>T177/T181</f>
        <v>0.91508792066075451</v>
      </c>
      <c r="U182" s="12">
        <f t="shared" si="383"/>
        <v>0.90781576013682419</v>
      </c>
      <c r="V182" s="12">
        <f t="shared" ref="V182:W182" si="384">V177/V181</f>
        <v>0.90081848349838289</v>
      </c>
      <c r="W182" s="12">
        <f t="shared" si="384"/>
        <v>0.89034564445472086</v>
      </c>
      <c r="X182" s="12">
        <f t="shared" ref="X182:Y182" si="385">X177/X181</f>
        <v>0.88117155257941648</v>
      </c>
      <c r="Y182" s="12">
        <f t="shared" si="385"/>
        <v>0.87391094264381275</v>
      </c>
      <c r="Z182" s="12">
        <f t="shared" ref="Z182" si="386">Z177/Z181</f>
        <v>0.86997697498885007</v>
      </c>
      <c r="AA182" s="12">
        <f>AA177/AA181</f>
        <v>0.86567050527497336</v>
      </c>
      <c r="AB182" s="12">
        <f>AB177/AB181</f>
        <v>0.86037755232453894</v>
      </c>
      <c r="AC182" s="12">
        <f>AC177/AC181</f>
        <v>0.85522250176920966</v>
      </c>
      <c r="AD182" s="70"/>
      <c r="AE182" s="70"/>
      <c r="AF182" s="70"/>
    </row>
    <row r="183" spans="1:33" x14ac:dyDescent="0.35">
      <c r="N183" s="39"/>
      <c r="O183" s="39"/>
      <c r="Q183" s="39"/>
      <c r="R183" s="39"/>
    </row>
    <row r="184" spans="1:33" x14ac:dyDescent="0.35">
      <c r="A184" s="2" t="s">
        <v>100</v>
      </c>
      <c r="N184" s="39"/>
      <c r="O184" s="39"/>
      <c r="Q184" s="39"/>
      <c r="R184" s="39"/>
      <c r="W184" s="26"/>
      <c r="X184" s="26"/>
      <c r="Y184" s="26"/>
      <c r="Z184" s="26"/>
      <c r="AA184" s="26"/>
      <c r="AB184" s="26"/>
      <c r="AC184" s="26"/>
    </row>
    <row r="185" spans="1:33" x14ac:dyDescent="0.35">
      <c r="A185" s="1" t="s">
        <v>101</v>
      </c>
      <c r="B185" s="26">
        <v>3788.1</v>
      </c>
      <c r="C185" s="26">
        <v>5664.8</v>
      </c>
      <c r="D185" s="26">
        <v>9047.18</v>
      </c>
      <c r="E185" s="26">
        <v>12398.98</v>
      </c>
      <c r="F185" s="26">
        <v>12824.92</v>
      </c>
      <c r="G185" s="26">
        <v>13784.92</v>
      </c>
      <c r="H185" s="26">
        <f t="shared" ref="H185:H186" si="387">Y185</f>
        <v>14607.08</v>
      </c>
      <c r="I185" s="26">
        <f t="shared" ref="I185:I186" si="388">AC185</f>
        <v>16247.22</v>
      </c>
      <c r="J185" s="26"/>
      <c r="N185" s="26">
        <v>12298.85</v>
      </c>
      <c r="O185" s="26">
        <v>12252.938</v>
      </c>
      <c r="P185" s="26">
        <v>12680.78</v>
      </c>
      <c r="Q185" s="26">
        <f>F185</f>
        <v>12824.92</v>
      </c>
      <c r="R185" s="26">
        <v>12766.1</v>
      </c>
      <c r="S185" s="26">
        <v>13083.58</v>
      </c>
      <c r="T185" s="26">
        <v>13528.86</v>
      </c>
      <c r="U185" s="26">
        <f>G185</f>
        <v>13784.92</v>
      </c>
      <c r="V185" s="26">
        <v>14207.91</v>
      </c>
      <c r="W185" s="26">
        <v>14423.62</v>
      </c>
      <c r="X185" s="26">
        <v>14620.94</v>
      </c>
      <c r="Y185" s="26">
        <v>14607.08</v>
      </c>
      <c r="Z185" s="26">
        <v>15068.64</v>
      </c>
      <c r="AA185" s="26">
        <v>15367.33</v>
      </c>
      <c r="AB185" s="26">
        <v>15834.97</v>
      </c>
      <c r="AC185" s="26">
        <v>16247.22</v>
      </c>
      <c r="AD185" s="69">
        <f>IFERROR(AC185/Y185-1,"")</f>
        <v>0.11228390616057404</v>
      </c>
      <c r="AE185" s="69">
        <f>IFERROR(AC185/AB185-1,"")</f>
        <v>2.6034150996181227E-2</v>
      </c>
      <c r="AF185" s="75"/>
      <c r="AG185" s="116"/>
    </row>
    <row r="186" spans="1:33" x14ac:dyDescent="0.35">
      <c r="A186" s="1" t="s">
        <v>102</v>
      </c>
      <c r="B186" s="26">
        <v>4685.0600000000004</v>
      </c>
      <c r="C186" s="26">
        <v>7894.52</v>
      </c>
      <c r="D186" s="26">
        <v>15388.56</v>
      </c>
      <c r="E186" s="26">
        <v>23784.62</v>
      </c>
      <c r="F186" s="26">
        <v>28585.8</v>
      </c>
      <c r="G186" s="26">
        <v>40018.44</v>
      </c>
      <c r="H186" s="26">
        <f t="shared" si="387"/>
        <v>57372.6</v>
      </c>
      <c r="I186" s="26">
        <f t="shared" si="388"/>
        <v>80731.11</v>
      </c>
      <c r="J186" s="26"/>
      <c r="N186" s="26">
        <v>23926.28</v>
      </c>
      <c r="O186" s="26">
        <v>25047.178</v>
      </c>
      <c r="P186" s="26">
        <v>26725.69</v>
      </c>
      <c r="Q186" s="26">
        <f>F186</f>
        <v>28585.8</v>
      </c>
      <c r="R186" s="26">
        <v>30176.58</v>
      </c>
      <c r="S186" s="26">
        <v>33086.699999999997</v>
      </c>
      <c r="T186" s="26">
        <v>36411.620000000003</v>
      </c>
      <c r="U186" s="26">
        <f>G186</f>
        <v>40018.44</v>
      </c>
      <c r="V186" s="26">
        <v>44110.92</v>
      </c>
      <c r="W186" s="26">
        <v>48330.75</v>
      </c>
      <c r="X186" s="26">
        <v>52890.84</v>
      </c>
      <c r="Y186" s="26">
        <v>57372.6</v>
      </c>
      <c r="Z186" s="26">
        <v>62690.28</v>
      </c>
      <c r="AA186" s="26">
        <v>68287.12</v>
      </c>
      <c r="AB186" s="26">
        <v>74302.47</v>
      </c>
      <c r="AC186" s="26">
        <v>80731.11</v>
      </c>
      <c r="AD186" s="69">
        <f>IFERROR(AC186/Y186-1,"")</f>
        <v>0.40713703056859907</v>
      </c>
      <c r="AE186" s="69">
        <f>IFERROR(AC186/AB186-1,"")</f>
        <v>8.6519869393305582E-2</v>
      </c>
      <c r="AF186" s="75"/>
      <c r="AG186" s="116"/>
    </row>
    <row r="187" spans="1:33" s="2" customFormat="1" x14ac:dyDescent="0.35">
      <c r="A187" s="2" t="s">
        <v>35</v>
      </c>
      <c r="B187" s="4">
        <f t="shared" ref="B187:G187" si="389">SUM(B185:B186)</f>
        <v>8473.16</v>
      </c>
      <c r="C187" s="4">
        <f t="shared" si="389"/>
        <v>13559.32</v>
      </c>
      <c r="D187" s="4">
        <f t="shared" si="389"/>
        <v>24435.739999999998</v>
      </c>
      <c r="E187" s="4">
        <f t="shared" si="389"/>
        <v>36183.599999999999</v>
      </c>
      <c r="F187" s="4">
        <f t="shared" si="389"/>
        <v>41410.720000000001</v>
      </c>
      <c r="G187" s="4">
        <f t="shared" si="389"/>
        <v>53803.360000000001</v>
      </c>
      <c r="H187" s="4">
        <f t="shared" ref="H187:I187" si="390">SUM(H185:H186)</f>
        <v>71979.679999999993</v>
      </c>
      <c r="I187" s="4">
        <f t="shared" si="390"/>
        <v>96978.33</v>
      </c>
      <c r="J187" s="4"/>
      <c r="N187" s="4">
        <f t="shared" ref="N187:U187" si="391">SUM(N185:N186)</f>
        <v>36225.129999999997</v>
      </c>
      <c r="O187" s="4">
        <f t="shared" si="391"/>
        <v>37300.116000000002</v>
      </c>
      <c r="P187" s="4">
        <f t="shared" si="391"/>
        <v>39406.47</v>
      </c>
      <c r="Q187" s="4">
        <f t="shared" si="391"/>
        <v>41410.720000000001</v>
      </c>
      <c r="R187" s="4">
        <f t="shared" si="391"/>
        <v>42942.68</v>
      </c>
      <c r="S187" s="4">
        <f t="shared" si="391"/>
        <v>46170.28</v>
      </c>
      <c r="T187" s="4">
        <f>SUM(T185:T186)</f>
        <v>49940.480000000003</v>
      </c>
      <c r="U187" s="4">
        <f t="shared" si="391"/>
        <v>53803.360000000001</v>
      </c>
      <c r="V187" s="4">
        <f t="shared" ref="V187" si="392">SUM(V185:V186)</f>
        <v>58318.83</v>
      </c>
      <c r="W187" s="4">
        <f t="shared" ref="W187:AB187" si="393">SUM(W185:W186)</f>
        <v>62754.37</v>
      </c>
      <c r="X187" s="4">
        <f t="shared" si="393"/>
        <v>67511.78</v>
      </c>
      <c r="Y187" s="4">
        <f t="shared" si="393"/>
        <v>71979.679999999993</v>
      </c>
      <c r="Z187" s="4">
        <f t="shared" si="393"/>
        <v>77758.92</v>
      </c>
      <c r="AA187" s="4">
        <f t="shared" si="393"/>
        <v>83654.45</v>
      </c>
      <c r="AB187" s="4">
        <f t="shared" si="393"/>
        <v>90137.44</v>
      </c>
      <c r="AC187" s="4">
        <f>SUM(AC185:AC186)</f>
        <v>96978.33</v>
      </c>
      <c r="AD187" s="71">
        <f>IFERROR(AC187/Y187-1,"")</f>
        <v>0.34730148842006536</v>
      </c>
      <c r="AE187" s="71">
        <f>IFERROR(AC187/AB187-1,"")</f>
        <v>7.5893990332984718E-2</v>
      </c>
      <c r="AF187" s="76"/>
      <c r="AG187" s="114"/>
    </row>
    <row r="188" spans="1:33" s="2" customFormat="1" x14ac:dyDescent="0.35">
      <c r="A188" s="2" t="s">
        <v>138</v>
      </c>
      <c r="B188" s="12">
        <f t="shared" ref="B188:G188" si="394">B185/B187</f>
        <v>0.44707051442437062</v>
      </c>
      <c r="C188" s="12">
        <f t="shared" si="394"/>
        <v>0.41777906266685944</v>
      </c>
      <c r="D188" s="12">
        <f t="shared" si="394"/>
        <v>0.37024374952426248</v>
      </c>
      <c r="E188" s="12">
        <f t="shared" si="394"/>
        <v>0.342668501752175</v>
      </c>
      <c r="F188" s="12">
        <f t="shared" si="394"/>
        <v>0.30970048335310274</v>
      </c>
      <c r="G188" s="12">
        <f t="shared" si="394"/>
        <v>0.25620927763619222</v>
      </c>
      <c r="H188" s="12">
        <f t="shared" ref="H188:I188" si="395">H185/H187</f>
        <v>0.20293338342154343</v>
      </c>
      <c r="I188" s="12">
        <f t="shared" si="395"/>
        <v>0.16753454096394524</v>
      </c>
      <c r="J188" s="12"/>
      <c r="N188" s="12">
        <f t="shared" ref="N188:U188" si="396">N185/N187</f>
        <v>0.33951154902687725</v>
      </c>
      <c r="O188" s="12">
        <f t="shared" si="396"/>
        <v>0.32849597572297096</v>
      </c>
      <c r="P188" s="12">
        <f t="shared" si="396"/>
        <v>0.32179436524002275</v>
      </c>
      <c r="Q188" s="12">
        <f t="shared" si="396"/>
        <v>0.30970048335310274</v>
      </c>
      <c r="R188" s="12">
        <f t="shared" si="396"/>
        <v>0.29728233077208971</v>
      </c>
      <c r="S188" s="12">
        <f t="shared" si="396"/>
        <v>0.28337666568190623</v>
      </c>
      <c r="T188" s="12">
        <f>T185/T187</f>
        <v>0.27089967897785522</v>
      </c>
      <c r="U188" s="12">
        <f t="shared" si="396"/>
        <v>0.25620927763619222</v>
      </c>
      <c r="V188" s="12">
        <f t="shared" ref="V188:W188" si="397">V185/V187</f>
        <v>0.24362474350051261</v>
      </c>
      <c r="W188" s="12">
        <f t="shared" si="397"/>
        <v>0.22984247949585027</v>
      </c>
      <c r="X188" s="12">
        <f t="shared" ref="X188:Y188" si="398">X185/X187</f>
        <v>0.21656872326577675</v>
      </c>
      <c r="Y188" s="12">
        <f t="shared" si="398"/>
        <v>0.20293338342154343</v>
      </c>
      <c r="Z188" s="12">
        <f>Z185/Z187</f>
        <v>0.19378664209842419</v>
      </c>
      <c r="AA188" s="12">
        <f>AA185/AA187</f>
        <v>0.18370009007291305</v>
      </c>
      <c r="AB188" s="12">
        <f>AB185/AB187</f>
        <v>0.17567583459215172</v>
      </c>
      <c r="AC188" s="12">
        <f>AC185/AC187</f>
        <v>0.16753454096394524</v>
      </c>
      <c r="AD188" s="70"/>
      <c r="AE188" s="70"/>
      <c r="AF188" s="70"/>
      <c r="AG188" s="126"/>
    </row>
    <row r="190" spans="1:33" x14ac:dyDescent="0.35">
      <c r="A190" s="1" t="s">
        <v>93</v>
      </c>
      <c r="B190" s="3">
        <f t="shared" ref="B190:H190" si="399">B16</f>
        <v>9747</v>
      </c>
      <c r="C190" s="3">
        <f t="shared" si="399"/>
        <v>15723</v>
      </c>
      <c r="D190" s="3">
        <f t="shared" si="399"/>
        <v>29372</v>
      </c>
      <c r="E190" s="3">
        <f t="shared" si="399"/>
        <v>43094</v>
      </c>
      <c r="F190" s="3">
        <f t="shared" si="399"/>
        <v>50417</v>
      </c>
      <c r="G190" s="3">
        <f t="shared" si="399"/>
        <v>62055</v>
      </c>
      <c r="H190" s="3">
        <f t="shared" si="399"/>
        <v>77927</v>
      </c>
      <c r="I190" s="3">
        <f t="shared" ref="I190" si="400">I16</f>
        <v>95974</v>
      </c>
      <c r="N190" s="3">
        <v>43205</v>
      </c>
      <c r="O190" s="3">
        <v>44796</v>
      </c>
      <c r="P190" s="3">
        <f>P16</f>
        <v>47440</v>
      </c>
      <c r="Q190" s="3">
        <f>F190</f>
        <v>50417</v>
      </c>
      <c r="R190" s="3">
        <f t="shared" ref="R190:AB190" si="401">R16</f>
        <v>52042</v>
      </c>
      <c r="S190" s="3">
        <f t="shared" si="401"/>
        <v>55243</v>
      </c>
      <c r="T190" s="3">
        <f t="shared" si="401"/>
        <v>58615</v>
      </c>
      <c r="U190" s="3">
        <f t="shared" si="401"/>
        <v>62055</v>
      </c>
      <c r="V190" s="3">
        <f t="shared" si="401"/>
        <v>65638</v>
      </c>
      <c r="W190" s="3">
        <f t="shared" si="401"/>
        <v>69395</v>
      </c>
      <c r="X190" s="3">
        <f t="shared" si="401"/>
        <v>73551</v>
      </c>
      <c r="Y190" s="3">
        <f t="shared" si="401"/>
        <v>77927</v>
      </c>
      <c r="Z190" s="3">
        <f t="shared" si="401"/>
        <v>82266</v>
      </c>
      <c r="AA190" s="3">
        <f t="shared" si="401"/>
        <v>86542</v>
      </c>
      <c r="AB190" s="3">
        <f t="shared" si="401"/>
        <v>91305</v>
      </c>
      <c r="AC190" s="3">
        <f t="shared" ref="AC190" si="402">AC16</f>
        <v>95974</v>
      </c>
      <c r="AD190" s="69">
        <f>IFERROR(AC190/Y190-1,"")</f>
        <v>0.23158853799068368</v>
      </c>
      <c r="AE190" s="69">
        <f>IFERROR(AC190/AB190-1,"")</f>
        <v>5.113630140737091E-2</v>
      </c>
      <c r="AF190" s="75"/>
    </row>
    <row r="191" spans="1:33" x14ac:dyDescent="0.35">
      <c r="A191" s="1" t="s">
        <v>94</v>
      </c>
      <c r="B191" s="30">
        <v>0.68500000000000005</v>
      </c>
      <c r="C191" s="30">
        <v>0.72699999999999998</v>
      </c>
      <c r="D191" s="30">
        <v>0.745</v>
      </c>
      <c r="E191" s="30">
        <v>0.74363000000000001</v>
      </c>
      <c r="F191" s="30">
        <v>0.75</v>
      </c>
      <c r="G191" s="30">
        <v>0.74870000000000003</v>
      </c>
      <c r="H191" s="30">
        <f>Y191</f>
        <v>0.72309999999999997</v>
      </c>
      <c r="I191" s="30">
        <f>AC191</f>
        <v>0.70820000000000005</v>
      </c>
      <c r="J191" s="30"/>
      <c r="N191" s="30">
        <v>0.74390000000000001</v>
      </c>
      <c r="O191" s="30">
        <v>0.74568999999999996</v>
      </c>
      <c r="P191" s="30">
        <v>0.74819999999999998</v>
      </c>
      <c r="Q191" s="30">
        <f>F191</f>
        <v>0.75</v>
      </c>
      <c r="R191" s="30">
        <v>0.73709999999999998</v>
      </c>
      <c r="S191" s="30">
        <v>0.74748999999999999</v>
      </c>
      <c r="T191" s="30">
        <v>0.74380000000000002</v>
      </c>
      <c r="U191" s="30">
        <f>G191</f>
        <v>0.74870000000000003</v>
      </c>
      <c r="V191" s="30">
        <v>0.74429999999999996</v>
      </c>
      <c r="W191" s="30">
        <v>0.73180000000000001</v>
      </c>
      <c r="X191" s="30">
        <v>0.72640000000000005</v>
      </c>
      <c r="Y191" s="30">
        <v>0.72309999999999997</v>
      </c>
      <c r="Z191" s="30">
        <v>0.71940000000000004</v>
      </c>
      <c r="AA191" s="30">
        <v>0.71589999999999998</v>
      </c>
      <c r="AB191" s="30">
        <v>0.71150000000000002</v>
      </c>
      <c r="AC191" s="30">
        <v>0.70820000000000005</v>
      </c>
    </row>
    <row r="192" spans="1:33" x14ac:dyDescent="0.35">
      <c r="A192" s="1" t="s">
        <v>95</v>
      </c>
      <c r="B192" s="30">
        <v>0.315</v>
      </c>
      <c r="C192" s="30">
        <v>0.27300000000000002</v>
      </c>
      <c r="D192" s="30">
        <v>0.255</v>
      </c>
      <c r="E192" s="30">
        <v>0.2555</v>
      </c>
      <c r="F192" s="30">
        <v>0.25</v>
      </c>
      <c r="G192" s="30">
        <v>0.25119999999999998</v>
      </c>
      <c r="H192" s="30">
        <f t="shared" ref="H192:H194" si="403">Y192</f>
        <v>0.27679999999999999</v>
      </c>
      <c r="I192" s="30">
        <f t="shared" ref="I192:I194" si="404">AC192</f>
        <v>0.2918</v>
      </c>
      <c r="J192" s="30"/>
      <c r="N192" s="30">
        <v>0.25540000000000002</v>
      </c>
      <c r="O192" s="30">
        <v>0.25374999999999998</v>
      </c>
      <c r="P192" s="30">
        <v>0.25130000000000002</v>
      </c>
      <c r="Q192" s="30">
        <f>F192</f>
        <v>0.25</v>
      </c>
      <c r="R192" s="30">
        <v>0.26190000000000002</v>
      </c>
      <c r="S192" s="30">
        <v>0.25223000000000001</v>
      </c>
      <c r="T192" s="30">
        <v>0.25600000000000001</v>
      </c>
      <c r="U192" s="30">
        <f>G192</f>
        <v>0.25119999999999998</v>
      </c>
      <c r="V192" s="30">
        <v>0.25559999999999999</v>
      </c>
      <c r="W192" s="30">
        <v>0.2681</v>
      </c>
      <c r="X192" s="30">
        <v>0.27350000000000002</v>
      </c>
      <c r="Y192" s="30">
        <v>0.27679999999999999</v>
      </c>
      <c r="Z192" s="30">
        <v>0.28050000000000003</v>
      </c>
      <c r="AA192" s="30">
        <v>0.28410000000000002</v>
      </c>
      <c r="AB192" s="30">
        <v>0.28849999999999998</v>
      </c>
      <c r="AC192" s="30">
        <v>0.2918</v>
      </c>
    </row>
    <row r="193" spans="1:34" x14ac:dyDescent="0.35">
      <c r="A193" s="1" t="s">
        <v>145</v>
      </c>
      <c r="B193" s="30">
        <v>0.498</v>
      </c>
      <c r="C193" s="30">
        <v>0.48099999999999998</v>
      </c>
      <c r="D193" s="30">
        <v>0.45800000000000002</v>
      </c>
      <c r="E193" s="30">
        <v>0.41799999999999998</v>
      </c>
      <c r="F193" s="30">
        <v>0.38100000000000001</v>
      </c>
      <c r="G193" s="30">
        <v>0.32569999999999999</v>
      </c>
      <c r="H193" s="30">
        <f t="shared" si="403"/>
        <v>0.27579999999999999</v>
      </c>
      <c r="I193" s="30">
        <f t="shared" si="404"/>
        <v>0.23069999999999999</v>
      </c>
      <c r="J193" s="30"/>
      <c r="N193" s="30">
        <v>0.41720000000000002</v>
      </c>
      <c r="O193" s="30">
        <v>0.40427000000000002</v>
      </c>
      <c r="P193" s="30">
        <v>0.39379999999999998</v>
      </c>
      <c r="Q193" s="30">
        <f>F193</f>
        <v>0.38100000000000001</v>
      </c>
      <c r="R193" s="30">
        <v>0.36659999999999998</v>
      </c>
      <c r="S193" s="30">
        <v>0.35283999999999999</v>
      </c>
      <c r="T193" s="30">
        <v>0.3412</v>
      </c>
      <c r="U193" s="30">
        <f>G193</f>
        <v>0.32569999999999999</v>
      </c>
      <c r="V193" s="30">
        <v>0.31469999999999998</v>
      </c>
      <c r="W193" s="30">
        <v>0.30149999999999999</v>
      </c>
      <c r="X193" s="30">
        <v>0.28949999999999998</v>
      </c>
      <c r="Y193" s="30">
        <v>0.27579999999999999</v>
      </c>
      <c r="Z193" s="30">
        <v>0.26400000000000001</v>
      </c>
      <c r="AA193" s="30">
        <v>0.252</v>
      </c>
      <c r="AB193" s="30">
        <v>0.2414</v>
      </c>
      <c r="AC193" s="30">
        <v>0.23069999999999999</v>
      </c>
    </row>
    <row r="194" spans="1:34" x14ac:dyDescent="0.35">
      <c r="A194" s="1" t="s">
        <v>96</v>
      </c>
      <c r="B194" s="30">
        <v>0.502</v>
      </c>
      <c r="C194" s="30">
        <v>0.51939999999999997</v>
      </c>
      <c r="D194" s="30">
        <v>0.54200000000000004</v>
      </c>
      <c r="E194" s="30">
        <v>0.58199999999999996</v>
      </c>
      <c r="F194" s="30">
        <v>0.61899999999999999</v>
      </c>
      <c r="G194" s="30">
        <v>0.67430000000000001</v>
      </c>
      <c r="H194" s="30">
        <f t="shared" si="403"/>
        <v>0.72419999999999995</v>
      </c>
      <c r="I194" s="30">
        <f t="shared" si="404"/>
        <v>0.76929999999999998</v>
      </c>
      <c r="J194" s="30"/>
      <c r="N194" s="30">
        <v>0.58279999999999998</v>
      </c>
      <c r="O194" s="30">
        <v>0.59572000000000003</v>
      </c>
      <c r="P194" s="30">
        <v>0.60619999999999996</v>
      </c>
      <c r="Q194" s="30">
        <f>F194</f>
        <v>0.61899999999999999</v>
      </c>
      <c r="R194" s="30">
        <v>0.63339999999999996</v>
      </c>
      <c r="S194" s="30">
        <v>0.64715</v>
      </c>
      <c r="T194" s="30">
        <v>0.65880000000000005</v>
      </c>
      <c r="U194" s="30">
        <f>G194</f>
        <v>0.67430000000000001</v>
      </c>
      <c r="V194" s="30">
        <v>0.68530000000000002</v>
      </c>
      <c r="W194" s="30">
        <v>0.69850000000000001</v>
      </c>
      <c r="X194" s="30">
        <v>0.71050000000000002</v>
      </c>
      <c r="Y194" s="30">
        <v>0.72419999999999995</v>
      </c>
      <c r="Z194" s="30">
        <v>0.73599999999999999</v>
      </c>
      <c r="AA194" s="30">
        <v>0.748</v>
      </c>
      <c r="AB194" s="30">
        <v>0.75860000000000005</v>
      </c>
      <c r="AC194" s="30">
        <v>0.76929999999999998</v>
      </c>
    </row>
    <row r="195" spans="1:34" x14ac:dyDescent="0.35">
      <c r="N195" s="7"/>
      <c r="O195" s="7"/>
      <c r="Q195" s="7"/>
    </row>
    <row r="196" spans="1:34" s="5" customFormat="1" x14ac:dyDescent="0.35">
      <c r="A196" s="5" t="s">
        <v>156</v>
      </c>
      <c r="B196" s="22" t="str">
        <f t="shared" ref="B196:I196" si="405">B$1</f>
        <v>FY17</v>
      </c>
      <c r="C196" s="22" t="str">
        <f t="shared" si="405"/>
        <v>FY18</v>
      </c>
      <c r="D196" s="22" t="str">
        <f t="shared" si="405"/>
        <v>FY19</v>
      </c>
      <c r="E196" s="22" t="str">
        <f t="shared" si="405"/>
        <v>FY20</v>
      </c>
      <c r="F196" s="22" t="str">
        <f t="shared" si="405"/>
        <v>FY21</v>
      </c>
      <c r="G196" s="22" t="str">
        <f t="shared" si="405"/>
        <v>FY22</v>
      </c>
      <c r="H196" s="22" t="str">
        <f t="shared" si="405"/>
        <v>FY23</v>
      </c>
      <c r="I196" s="22" t="str">
        <f t="shared" si="405"/>
        <v>FY24</v>
      </c>
      <c r="J196" s="22"/>
      <c r="N196" s="6" t="str">
        <f t="shared" ref="N196:AC196" si="406">N$1</f>
        <v>Q1FY21</v>
      </c>
      <c r="O196" s="6" t="str">
        <f t="shared" si="406"/>
        <v>Q2FY21</v>
      </c>
      <c r="P196" s="80" t="str">
        <f t="shared" si="406"/>
        <v>Q3FY21</v>
      </c>
      <c r="Q196" s="6" t="str">
        <f t="shared" si="406"/>
        <v>Q4FY21</v>
      </c>
      <c r="R196" s="6" t="str">
        <f t="shared" si="406"/>
        <v>Q1FY22</v>
      </c>
      <c r="S196" s="80" t="str">
        <f t="shared" si="406"/>
        <v>Q2FY22</v>
      </c>
      <c r="T196" s="80" t="str">
        <f t="shared" si="406"/>
        <v>Q3FY22</v>
      </c>
      <c r="U196" s="80" t="str">
        <f t="shared" si="406"/>
        <v>Q4FY22</v>
      </c>
      <c r="V196" s="80" t="str">
        <f t="shared" si="406"/>
        <v>Q1FY23</v>
      </c>
      <c r="W196" s="80" t="str">
        <f t="shared" si="406"/>
        <v>Q2FY23</v>
      </c>
      <c r="X196" s="80" t="str">
        <f t="shared" si="406"/>
        <v>Q3FY23</v>
      </c>
      <c r="Y196" s="80" t="str">
        <f t="shared" si="406"/>
        <v>Q4FY23</v>
      </c>
      <c r="Z196" s="80" t="str">
        <f t="shared" si="406"/>
        <v>Q1FY24</v>
      </c>
      <c r="AA196" s="80" t="str">
        <f t="shared" si="406"/>
        <v>Q2FY24</v>
      </c>
      <c r="AB196" s="80" t="str">
        <f t="shared" si="406"/>
        <v>Q3FY24</v>
      </c>
      <c r="AC196" s="80" t="str">
        <f t="shared" si="406"/>
        <v>Q4FY24</v>
      </c>
      <c r="AD196" s="6"/>
      <c r="AE196" s="6"/>
      <c r="AF196" s="6"/>
    </row>
    <row r="197" spans="1:34" x14ac:dyDescent="0.35">
      <c r="A197" s="1" t="s">
        <v>157</v>
      </c>
      <c r="B197" s="38">
        <v>0.69399999999999995</v>
      </c>
      <c r="C197" s="38">
        <v>0.73599999999999999</v>
      </c>
      <c r="D197" s="38">
        <v>0.72799999999999998</v>
      </c>
      <c r="E197" s="38">
        <v>0.72940000000000005</v>
      </c>
      <c r="F197" s="38">
        <v>0.73780000000000001</v>
      </c>
      <c r="G197" s="38">
        <v>0.72319999999999995</v>
      </c>
      <c r="H197" s="38">
        <f>Y197</f>
        <v>0.69489999999999996</v>
      </c>
      <c r="I197" s="38">
        <f t="shared" ref="I197:I199" si="407">AC197</f>
        <v>0.68020000000000003</v>
      </c>
      <c r="J197" s="38"/>
      <c r="N197" s="38">
        <v>0.72929999999999995</v>
      </c>
      <c r="O197" s="38">
        <v>0.73087000000000002</v>
      </c>
      <c r="P197" s="38">
        <v>0.7349</v>
      </c>
      <c r="Q197" s="38">
        <f>F197</f>
        <v>0.73780000000000001</v>
      </c>
      <c r="R197" s="38">
        <v>0.73939999999999995</v>
      </c>
      <c r="S197" s="38">
        <v>0.73597000000000001</v>
      </c>
      <c r="T197" s="38">
        <v>0.72929999999999995</v>
      </c>
      <c r="U197" s="38">
        <f>G197</f>
        <v>0.72319999999999995</v>
      </c>
      <c r="V197" s="38">
        <v>0.71619999999999995</v>
      </c>
      <c r="W197" s="38">
        <v>0.70830000000000004</v>
      </c>
      <c r="X197" s="38">
        <v>0.70079999999999998</v>
      </c>
      <c r="Y197" s="38">
        <v>0.69489999999999996</v>
      </c>
      <c r="Z197" s="38">
        <v>0.69079999999999997</v>
      </c>
      <c r="AA197" s="38">
        <v>0.68669999999999998</v>
      </c>
      <c r="AB197" s="38">
        <v>0.68279999999999996</v>
      </c>
      <c r="AC197" s="38">
        <v>0.68020000000000003</v>
      </c>
    </row>
    <row r="198" spans="1:34" x14ac:dyDescent="0.35">
      <c r="A198" s="1" t="s">
        <v>158</v>
      </c>
      <c r="B198" s="38">
        <v>0.30599999999999999</v>
      </c>
      <c r="C198" s="38">
        <v>0.251</v>
      </c>
      <c r="D198" s="38">
        <v>0.23799999999999999</v>
      </c>
      <c r="E198" s="38">
        <v>0.2495</v>
      </c>
      <c r="F198" s="38">
        <v>0.25069999999999998</v>
      </c>
      <c r="G198" s="38">
        <v>0.27260000000000001</v>
      </c>
      <c r="H198" s="38">
        <f t="shared" ref="H198:H199" si="408">Y198</f>
        <v>0.30280000000000001</v>
      </c>
      <c r="I198" s="38">
        <f t="shared" si="407"/>
        <v>0.31919999999999998</v>
      </c>
      <c r="J198" s="38"/>
      <c r="N198" s="38">
        <v>0.25040000000000001</v>
      </c>
      <c r="O198" s="38">
        <v>0.25028</v>
      </c>
      <c r="P198" s="38">
        <v>0.24990000000000001</v>
      </c>
      <c r="Q198" s="38">
        <f>F198</f>
        <v>0.25069999999999998</v>
      </c>
      <c r="R198" s="38">
        <v>0.25109999999999999</v>
      </c>
      <c r="S198" s="38">
        <v>0.25722</v>
      </c>
      <c r="T198" s="38">
        <v>0.26550000000000001</v>
      </c>
      <c r="U198" s="38">
        <f>G198</f>
        <v>0.27260000000000001</v>
      </c>
      <c r="V198" s="38">
        <v>0.2802</v>
      </c>
      <c r="W198" s="38">
        <v>0.28849999999999998</v>
      </c>
      <c r="X198" s="38">
        <v>0.29649999999999999</v>
      </c>
      <c r="Y198" s="38">
        <v>0.30280000000000001</v>
      </c>
      <c r="Z198" s="38">
        <v>0.30719999999999997</v>
      </c>
      <c r="AA198" s="38">
        <v>0.31169999999999998</v>
      </c>
      <c r="AB198" s="38">
        <v>0.31630000000000003</v>
      </c>
      <c r="AC198" s="38">
        <v>0.31919999999999998</v>
      </c>
    </row>
    <row r="199" spans="1:34" x14ac:dyDescent="0.35">
      <c r="A199" s="1" t="s">
        <v>159</v>
      </c>
      <c r="B199" s="38">
        <v>0</v>
      </c>
      <c r="C199" s="38">
        <v>1.2999999999999999E-2</v>
      </c>
      <c r="D199" s="38">
        <v>3.4000000000000002E-2</v>
      </c>
      <c r="E199" s="38">
        <v>2.1000000000000001E-2</v>
      </c>
      <c r="F199" s="38">
        <v>1.15E-2</v>
      </c>
      <c r="G199" s="38">
        <v>4.1999999999999997E-3</v>
      </c>
      <c r="H199" s="38">
        <f t="shared" si="408"/>
        <v>2.3E-3</v>
      </c>
      <c r="I199" s="38">
        <f t="shared" si="407"/>
        <v>5.9999999999999995E-4</v>
      </c>
      <c r="J199" s="38"/>
      <c r="N199" s="38">
        <v>2.0299999999999999E-2</v>
      </c>
      <c r="O199" s="38">
        <v>1.8839999999999999E-2</v>
      </c>
      <c r="P199" s="38">
        <v>1.5100000000000001E-2</v>
      </c>
      <c r="Q199" s="38">
        <f>F199</f>
        <v>1.15E-2</v>
      </c>
      <c r="R199" s="38">
        <v>9.4999999999999998E-3</v>
      </c>
      <c r="S199" s="38">
        <v>6.79E-3</v>
      </c>
      <c r="T199" s="38">
        <v>5.1999999999999998E-3</v>
      </c>
      <c r="U199" s="38">
        <f>G199</f>
        <v>4.1999999999999997E-3</v>
      </c>
      <c r="V199" s="38">
        <v>3.5999999999999999E-3</v>
      </c>
      <c r="W199" s="38">
        <v>3.2000000000000002E-3</v>
      </c>
      <c r="X199" s="38">
        <v>2.7000000000000001E-3</v>
      </c>
      <c r="Y199" s="38">
        <v>2.3E-3</v>
      </c>
      <c r="Z199" s="38">
        <v>2E-3</v>
      </c>
      <c r="AA199" s="38">
        <v>1.6999999999999999E-3</v>
      </c>
      <c r="AB199" s="38">
        <v>8.9999999999999998E-4</v>
      </c>
      <c r="AC199" s="38">
        <v>5.9999999999999995E-4</v>
      </c>
    </row>
    <row r="200" spans="1:34" x14ac:dyDescent="0.35">
      <c r="B200" s="46"/>
      <c r="C200" s="46"/>
      <c r="D200" s="46"/>
      <c r="E200" s="46"/>
      <c r="F200" s="46"/>
      <c r="G200" s="46"/>
      <c r="H200" s="46"/>
      <c r="I200" s="46"/>
      <c r="J200" s="46"/>
      <c r="N200" s="46"/>
      <c r="O200" s="46"/>
      <c r="P200" s="42"/>
      <c r="Q200" s="46"/>
      <c r="R200" s="46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</row>
    <row r="201" spans="1:34" s="5" customFormat="1" x14ac:dyDescent="0.35">
      <c r="A201" s="5" t="s">
        <v>252</v>
      </c>
      <c r="B201" s="22" t="str">
        <f t="shared" ref="B201:I201" si="409">B$1</f>
        <v>FY17</v>
      </c>
      <c r="C201" s="22" t="str">
        <f t="shared" si="409"/>
        <v>FY18</v>
      </c>
      <c r="D201" s="22" t="str">
        <f t="shared" si="409"/>
        <v>FY19</v>
      </c>
      <c r="E201" s="22" t="str">
        <f t="shared" si="409"/>
        <v>FY20</v>
      </c>
      <c r="F201" s="22" t="str">
        <f t="shared" si="409"/>
        <v>FY21</v>
      </c>
      <c r="G201" s="22" t="str">
        <f t="shared" si="409"/>
        <v>FY22</v>
      </c>
      <c r="H201" s="22" t="str">
        <f t="shared" si="409"/>
        <v>FY23</v>
      </c>
      <c r="I201" s="22" t="str">
        <f t="shared" si="409"/>
        <v>FY24</v>
      </c>
      <c r="J201" s="22"/>
      <c r="N201" s="6" t="str">
        <f t="shared" ref="N201:AC201" si="410">N$1</f>
        <v>Q1FY21</v>
      </c>
      <c r="O201" s="6" t="str">
        <f t="shared" si="410"/>
        <v>Q2FY21</v>
      </c>
      <c r="P201" s="80" t="str">
        <f t="shared" si="410"/>
        <v>Q3FY21</v>
      </c>
      <c r="Q201" s="6" t="str">
        <f t="shared" si="410"/>
        <v>Q4FY21</v>
      </c>
      <c r="R201" s="6" t="str">
        <f t="shared" si="410"/>
        <v>Q1FY22</v>
      </c>
      <c r="S201" s="80" t="str">
        <f t="shared" si="410"/>
        <v>Q2FY22</v>
      </c>
      <c r="T201" s="80" t="str">
        <f t="shared" si="410"/>
        <v>Q3FY22</v>
      </c>
      <c r="U201" s="80" t="str">
        <f t="shared" si="410"/>
        <v>Q4FY22</v>
      </c>
      <c r="V201" s="80" t="str">
        <f t="shared" si="410"/>
        <v>Q1FY23</v>
      </c>
      <c r="W201" s="80" t="str">
        <f t="shared" si="410"/>
        <v>Q2FY23</v>
      </c>
      <c r="X201" s="80" t="str">
        <f t="shared" si="410"/>
        <v>Q3FY23</v>
      </c>
      <c r="Y201" s="80" t="str">
        <f t="shared" si="410"/>
        <v>Q4FY23</v>
      </c>
      <c r="Z201" s="80" t="str">
        <f t="shared" si="410"/>
        <v>Q1FY24</v>
      </c>
      <c r="AA201" s="80" t="str">
        <f t="shared" si="410"/>
        <v>Q2FY24</v>
      </c>
      <c r="AB201" s="80" t="str">
        <f t="shared" si="410"/>
        <v>Q3FY24</v>
      </c>
      <c r="AC201" s="80" t="str">
        <f t="shared" si="410"/>
        <v>Q4FY24</v>
      </c>
      <c r="AD201" s="6"/>
      <c r="AE201" s="6"/>
      <c r="AF201" s="6"/>
    </row>
    <row r="202" spans="1:34" x14ac:dyDescent="0.35">
      <c r="A202" s="1" t="s">
        <v>160</v>
      </c>
      <c r="B202" s="38">
        <v>3.2593507026894335E-2</v>
      </c>
      <c r="C202" s="38">
        <v>3.0053867008080052E-2</v>
      </c>
      <c r="D202" s="38">
        <v>3.6081984830416428E-2</v>
      </c>
      <c r="E202" s="38">
        <v>3.4362798803011352E-2</v>
      </c>
      <c r="F202" s="38">
        <v>3.0495465059971041E-2</v>
      </c>
      <c r="G202" s="38">
        <v>2.4203211618959625E-2</v>
      </c>
      <c r="H202" s="38">
        <f t="shared" ref="H202:H207" si="411">Y202</f>
        <v>1.83E-2</v>
      </c>
      <c r="I202" s="38">
        <f t="shared" ref="I202:I207" si="412">AC202</f>
        <v>1.44E-2</v>
      </c>
      <c r="J202" s="38"/>
      <c r="N202" s="38">
        <v>3.4228000000000001E-2</v>
      </c>
      <c r="O202" s="38">
        <v>3.2582E-2</v>
      </c>
      <c r="P202" s="38">
        <v>3.1983449996411652E-2</v>
      </c>
      <c r="Q202" s="38">
        <f>F202</f>
        <v>3.0495465059971041E-2</v>
      </c>
      <c r="R202" s="38">
        <v>2.9489999999999999E-2</v>
      </c>
      <c r="S202" s="38">
        <v>2.7699999999999999E-2</v>
      </c>
      <c r="T202" s="38">
        <v>2.607692941357205E-2</v>
      </c>
      <c r="U202" s="38">
        <f>G202</f>
        <v>2.4203211618959625E-2</v>
      </c>
      <c r="V202" s="38">
        <v>2.24E-2</v>
      </c>
      <c r="W202" s="38">
        <v>2.1000000000000001E-2</v>
      </c>
      <c r="X202" s="38">
        <v>1.9400000000000001E-2</v>
      </c>
      <c r="Y202" s="38">
        <v>1.83E-2</v>
      </c>
      <c r="Z202" s="38">
        <v>1.6799999999999999E-2</v>
      </c>
      <c r="AA202" s="38">
        <v>1.6299999999999999E-2</v>
      </c>
      <c r="AB202" s="38">
        <v>1.54E-2</v>
      </c>
      <c r="AC202" s="38">
        <v>1.44E-2</v>
      </c>
      <c r="AG202" s="132"/>
      <c r="AH202" s="112"/>
    </row>
    <row r="203" spans="1:34" x14ac:dyDescent="0.35">
      <c r="A203" s="20" t="s">
        <v>161</v>
      </c>
      <c r="B203" s="38">
        <v>0.32455541970174057</v>
      </c>
      <c r="C203" s="38">
        <v>0.34963331494499722</v>
      </c>
      <c r="D203" s="38">
        <v>0.33490534765879809</v>
      </c>
      <c r="E203" s="38">
        <v>0.34967885146513467</v>
      </c>
      <c r="F203" s="38">
        <v>0.35497792623210939</v>
      </c>
      <c r="G203" s="38">
        <v>0.33252762680482001</v>
      </c>
      <c r="H203" s="38">
        <f t="shared" si="411"/>
        <v>0.2777</v>
      </c>
      <c r="I203" s="38">
        <f t="shared" si="412"/>
        <v>0.23799999999999999</v>
      </c>
      <c r="J203" s="38"/>
      <c r="N203" s="38">
        <v>0.35084900000000002</v>
      </c>
      <c r="O203" s="38">
        <v>0.345439</v>
      </c>
      <c r="P203" s="38">
        <v>0.35519412403848949</v>
      </c>
      <c r="Q203" s="38">
        <f>F203</f>
        <v>0.35497792623210939</v>
      </c>
      <c r="R203" s="38">
        <v>0.35309000000000001</v>
      </c>
      <c r="S203" s="38">
        <v>0.34849999999999998</v>
      </c>
      <c r="T203" s="38">
        <v>0.34303564191117208</v>
      </c>
      <c r="U203" s="38">
        <f>G203</f>
        <v>0.33252762680482001</v>
      </c>
      <c r="V203" s="38">
        <v>0.32269999999999999</v>
      </c>
      <c r="W203" s="38">
        <v>0.30809999999999998</v>
      </c>
      <c r="X203" s="38">
        <v>0.2928</v>
      </c>
      <c r="Y203" s="38">
        <v>0.2777</v>
      </c>
      <c r="Z203" s="38">
        <v>0.26750000000000002</v>
      </c>
      <c r="AA203" s="38">
        <v>0.25879999999999997</v>
      </c>
      <c r="AB203" s="38">
        <v>0.24890000000000001</v>
      </c>
      <c r="AC203" s="38">
        <v>0.23799999999999999</v>
      </c>
      <c r="AG203" s="132"/>
      <c r="AH203" s="112"/>
    </row>
    <row r="204" spans="1:34" x14ac:dyDescent="0.35">
      <c r="A204" s="20" t="s">
        <v>162</v>
      </c>
      <c r="B204" s="38">
        <v>0.36526750350518578</v>
      </c>
      <c r="C204" s="38">
        <v>0.33320476248071434</v>
      </c>
      <c r="D204" s="38">
        <v>0.30580330286703</v>
      </c>
      <c r="E204" s="38">
        <v>0.31660604025106925</v>
      </c>
      <c r="F204" s="38">
        <v>0.32639196043889818</v>
      </c>
      <c r="G204" s="38">
        <v>0.32513059071208961</v>
      </c>
      <c r="H204" s="38">
        <f t="shared" si="411"/>
        <v>0.32079999999999997</v>
      </c>
      <c r="I204" s="38">
        <f t="shared" si="412"/>
        <v>0.30819999999999997</v>
      </c>
      <c r="J204" s="38"/>
      <c r="N204" s="38">
        <v>0.31698599999999999</v>
      </c>
      <c r="O204" s="38">
        <v>0.3216934745538475</v>
      </c>
      <c r="P204" s="38">
        <v>0.32444418247566048</v>
      </c>
      <c r="Q204" s="38">
        <f>F204</f>
        <v>0.32639196043889818</v>
      </c>
      <c r="R204" s="38">
        <v>0.33015099999999997</v>
      </c>
      <c r="S204" s="38">
        <v>0.32990000000000003</v>
      </c>
      <c r="T204" s="38">
        <v>0.32864077210018222</v>
      </c>
      <c r="U204" s="38">
        <f>G204</f>
        <v>0.32513059071208961</v>
      </c>
      <c r="V204" s="38">
        <v>0.32289000000000001</v>
      </c>
      <c r="W204" s="38">
        <v>0.32329999999999998</v>
      </c>
      <c r="X204" s="38">
        <v>0.32200000000000001</v>
      </c>
      <c r="Y204" s="38">
        <v>0.32079999999999997</v>
      </c>
      <c r="Z204" s="38">
        <v>0.32019999999999998</v>
      </c>
      <c r="AA204" s="38">
        <v>0.317</v>
      </c>
      <c r="AB204" s="38">
        <v>0.3135</v>
      </c>
      <c r="AC204" s="38">
        <v>0.30819999999999997</v>
      </c>
      <c r="AG204" s="132"/>
      <c r="AH204" s="112"/>
    </row>
    <row r="205" spans="1:34" x14ac:dyDescent="0.35">
      <c r="A205" s="20" t="s">
        <v>192</v>
      </c>
      <c r="B205" s="38">
        <v>0.1585901835914818</v>
      </c>
      <c r="C205" s="38">
        <v>0.15643114846467226</v>
      </c>
      <c r="D205" s="38">
        <v>0.14270572530236447</v>
      </c>
      <c r="E205" s="38">
        <v>0.13946674023984873</v>
      </c>
      <c r="F205" s="38">
        <v>0.1422700485986842</v>
      </c>
      <c r="G205" s="38">
        <v>0.1577711432192466</v>
      </c>
      <c r="H205" s="38">
        <f t="shared" si="411"/>
        <v>0.1812</v>
      </c>
      <c r="I205" s="38">
        <f t="shared" si="412"/>
        <v>0.2026</v>
      </c>
      <c r="J205" s="38"/>
      <c r="N205" s="38">
        <v>0.13925199999999999</v>
      </c>
      <c r="O205" s="38">
        <v>0.14230100000000001</v>
      </c>
      <c r="P205" s="38">
        <v>0.13926546970837578</v>
      </c>
      <c r="Q205" s="38">
        <f>F205</f>
        <v>0.1422700485986842</v>
      </c>
      <c r="R205" s="38">
        <v>0.14341000000000001</v>
      </c>
      <c r="S205" s="38">
        <v>0.14760000000000001</v>
      </c>
      <c r="T205" s="38">
        <v>0.15116153444214223</v>
      </c>
      <c r="U205" s="38">
        <f>G205</f>
        <v>0.1577711432192466</v>
      </c>
      <c r="V205" s="38">
        <v>0.16309999999999999</v>
      </c>
      <c r="W205" s="38">
        <v>0.1686</v>
      </c>
      <c r="X205" s="38">
        <v>0.17610000000000001</v>
      </c>
      <c r="Y205" s="38">
        <v>0.1812</v>
      </c>
      <c r="Z205" s="38">
        <v>0.18590000000000001</v>
      </c>
      <c r="AA205" s="38">
        <v>0.1903</v>
      </c>
      <c r="AB205" s="38">
        <v>0.1963</v>
      </c>
      <c r="AC205" s="38">
        <v>0.2026</v>
      </c>
      <c r="AG205" s="132"/>
      <c r="AH205" s="112"/>
    </row>
    <row r="206" spans="1:34" x14ac:dyDescent="0.35">
      <c r="A206" s="20" t="s">
        <v>193</v>
      </c>
      <c r="B206" s="38">
        <v>6.5897492788994899E-2</v>
      </c>
      <c r="C206" s="38">
        <v>5.9326721399008207E-2</v>
      </c>
      <c r="D206" s="38">
        <v>6.1252902510830445E-2</v>
      </c>
      <c r="E206" s="38">
        <v>5.9695196997411028E-2</v>
      </c>
      <c r="F206" s="38">
        <v>6.007956089159619E-2</v>
      </c>
      <c r="G206" s="38">
        <v>7.1329014103161822E-2</v>
      </c>
      <c r="H206" s="38">
        <f t="shared" si="411"/>
        <v>9.0999999999999998E-2</v>
      </c>
      <c r="I206" s="38">
        <f t="shared" si="412"/>
        <v>0.109</v>
      </c>
      <c r="J206" s="38"/>
      <c r="N206" s="38">
        <v>5.9663000000000001E-2</v>
      </c>
      <c r="O206" s="38">
        <v>6.15659E-2</v>
      </c>
      <c r="P206" s="38">
        <v>6.0081996159402164E-2</v>
      </c>
      <c r="Q206" s="38">
        <f>F206</f>
        <v>6.007956089159619E-2</v>
      </c>
      <c r="R206" s="38">
        <v>6.0509E-2</v>
      </c>
      <c r="S206" s="38">
        <v>6.318E-2</v>
      </c>
      <c r="T206" s="38">
        <v>6.6048047432446508E-2</v>
      </c>
      <c r="U206" s="38">
        <f>G206</f>
        <v>7.1329014103161822E-2</v>
      </c>
      <c r="V206" s="38">
        <v>7.5300000000000006E-2</v>
      </c>
      <c r="W206" s="38">
        <v>8.0600000000000005E-2</v>
      </c>
      <c r="X206" s="38">
        <v>8.5300000000000001E-2</v>
      </c>
      <c r="Y206" s="38">
        <v>9.0999999999999998E-2</v>
      </c>
      <c r="Z206" s="38">
        <v>9.6000000000000002E-2</v>
      </c>
      <c r="AA206" s="38">
        <v>0.10050000000000001</v>
      </c>
      <c r="AB206" s="38">
        <v>0.1038</v>
      </c>
      <c r="AC206" s="38">
        <v>0.109</v>
      </c>
      <c r="AG206" s="132"/>
      <c r="AH206" s="112"/>
    </row>
    <row r="207" spans="1:34" x14ac:dyDescent="0.35">
      <c r="A207" s="1" t="s">
        <v>163</v>
      </c>
      <c r="B207" s="38">
        <f t="shared" ref="B207:G207" si="413">1-B202-B205-B203-B204-B206</f>
        <v>5.3095893385702614E-2</v>
      </c>
      <c r="C207" s="38">
        <f t="shared" si="413"/>
        <v>7.1350185702527796E-2</v>
      </c>
      <c r="D207" s="38">
        <f t="shared" si="413"/>
        <v>0.11925073683056052</v>
      </c>
      <c r="E207" s="38">
        <f t="shared" si="413"/>
        <v>0.10019037224352503</v>
      </c>
      <c r="F207" s="38">
        <f t="shared" si="413"/>
        <v>8.5785038778741024E-2</v>
      </c>
      <c r="G207" s="38">
        <f t="shared" si="413"/>
        <v>8.903841354172233E-2</v>
      </c>
      <c r="H207" s="38">
        <f t="shared" si="411"/>
        <v>0.11099999999999999</v>
      </c>
      <c r="I207" s="38">
        <f t="shared" si="412"/>
        <v>0.1278</v>
      </c>
      <c r="J207" s="38"/>
      <c r="N207" s="38">
        <f t="shared" ref="N207:U207" si="414">1-N202-N205-N203-N204-N206</f>
        <v>9.9021999999999916E-2</v>
      </c>
      <c r="O207" s="38">
        <f t="shared" si="414"/>
        <v>9.6418625446152484E-2</v>
      </c>
      <c r="P207" s="38">
        <f t="shared" si="414"/>
        <v>8.9030777621660367E-2</v>
      </c>
      <c r="Q207" s="38">
        <f t="shared" si="414"/>
        <v>8.5785038778741024E-2</v>
      </c>
      <c r="R207" s="38">
        <f t="shared" si="414"/>
        <v>8.3349999999999952E-2</v>
      </c>
      <c r="S207" s="38">
        <f t="shared" si="414"/>
        <v>8.3119999999999986E-2</v>
      </c>
      <c r="T207" s="38">
        <f>1-T202-T205-T203-T204-T206</f>
        <v>8.5037074700484896E-2</v>
      </c>
      <c r="U207" s="38">
        <f t="shared" si="414"/>
        <v>8.903841354172233E-2</v>
      </c>
      <c r="V207" s="38">
        <f t="shared" ref="V207" si="415">1-V202-V205-V203-V204-V206</f>
        <v>9.3609999999999999E-2</v>
      </c>
      <c r="W207" s="38">
        <f>1-W202-W203-W204-W205-W206</f>
        <v>9.8400000000000071E-2</v>
      </c>
      <c r="X207" s="38">
        <f>1-X202-X203-X204-X205-X206</f>
        <v>0.10439999999999995</v>
      </c>
      <c r="Y207" s="38">
        <f>1-Y202-Y203-Y204-Y205-Y206</f>
        <v>0.11099999999999999</v>
      </c>
      <c r="Z207" s="38">
        <f>1-Z202-Z203-Z204-Z205-Z206</f>
        <v>0.11360000000000001</v>
      </c>
      <c r="AA207" s="38">
        <v>0.1171</v>
      </c>
      <c r="AB207" s="38">
        <v>0.1221</v>
      </c>
      <c r="AC207" s="38">
        <v>0.1278</v>
      </c>
      <c r="AG207" s="132"/>
      <c r="AH207" s="112"/>
    </row>
    <row r="209" spans="1:34" s="5" customFormat="1" x14ac:dyDescent="0.35">
      <c r="A209" s="5" t="s">
        <v>103</v>
      </c>
      <c r="B209" s="22" t="str">
        <f t="shared" ref="B209:I209" si="416">B$1</f>
        <v>FY17</v>
      </c>
      <c r="C209" s="22" t="str">
        <f t="shared" si="416"/>
        <v>FY18</v>
      </c>
      <c r="D209" s="22" t="str">
        <f t="shared" si="416"/>
        <v>FY19</v>
      </c>
      <c r="E209" s="22" t="str">
        <f t="shared" si="416"/>
        <v>FY20</v>
      </c>
      <c r="F209" s="22" t="str">
        <f t="shared" si="416"/>
        <v>FY21</v>
      </c>
      <c r="G209" s="22" t="str">
        <f t="shared" si="416"/>
        <v>FY22</v>
      </c>
      <c r="H209" s="22" t="str">
        <f t="shared" si="416"/>
        <v>FY23</v>
      </c>
      <c r="I209" s="22" t="str">
        <f t="shared" si="416"/>
        <v>FY24</v>
      </c>
      <c r="J209" s="22"/>
      <c r="N209" s="6" t="str">
        <f t="shared" ref="N209:AE209" si="417">N$1</f>
        <v>Q1FY21</v>
      </c>
      <c r="O209" s="6" t="str">
        <f t="shared" si="417"/>
        <v>Q2FY21</v>
      </c>
      <c r="P209" s="80" t="str">
        <f t="shared" si="417"/>
        <v>Q3FY21</v>
      </c>
      <c r="Q209" s="6" t="str">
        <f t="shared" si="417"/>
        <v>Q4FY21</v>
      </c>
      <c r="R209" s="6" t="str">
        <f t="shared" si="417"/>
        <v>Q1FY22</v>
      </c>
      <c r="S209" s="80" t="str">
        <f t="shared" si="417"/>
        <v>Q2FY22</v>
      </c>
      <c r="T209" s="80" t="str">
        <f t="shared" si="417"/>
        <v>Q3FY22</v>
      </c>
      <c r="U209" s="80" t="str">
        <f t="shared" si="417"/>
        <v>Q4FY22</v>
      </c>
      <c r="V209" s="80" t="str">
        <f t="shared" si="417"/>
        <v>Q1FY23</v>
      </c>
      <c r="W209" s="80" t="str">
        <f t="shared" si="417"/>
        <v>Q2FY23</v>
      </c>
      <c r="X209" s="80" t="str">
        <f t="shared" si="417"/>
        <v>Q3FY23</v>
      </c>
      <c r="Y209" s="80" t="str">
        <f t="shared" si="417"/>
        <v>Q4FY23</v>
      </c>
      <c r="Z209" s="80" t="str">
        <f t="shared" si="417"/>
        <v>Q1FY24</v>
      </c>
      <c r="AA209" s="80" t="str">
        <f t="shared" si="417"/>
        <v>Q2FY24</v>
      </c>
      <c r="AB209" s="80" t="str">
        <f t="shared" si="417"/>
        <v>Q3FY24</v>
      </c>
      <c r="AC209" s="80" t="str">
        <f t="shared" si="417"/>
        <v>Q4FY24</v>
      </c>
      <c r="AD209" s="6" t="str">
        <f t="shared" si="417"/>
        <v>y-o-y</v>
      </c>
      <c r="AE209" s="6" t="str">
        <f t="shared" si="417"/>
        <v>q-o-q</v>
      </c>
      <c r="AF209" s="6"/>
    </row>
    <row r="210" spans="1:34" x14ac:dyDescent="0.35">
      <c r="A210" s="1" t="s">
        <v>63</v>
      </c>
      <c r="B210" s="26">
        <v>2799.9</v>
      </c>
      <c r="C210" s="26">
        <v>5157.99</v>
      </c>
      <c r="D210" s="26">
        <v>9959.86</v>
      </c>
      <c r="E210" s="26">
        <v>14375.05</v>
      </c>
      <c r="F210" s="26">
        <v>15824.26</v>
      </c>
      <c r="G210" s="26">
        <v>19379.98</v>
      </c>
      <c r="H210" s="26">
        <f t="shared" ref="H210:H220" si="418">Y210</f>
        <v>23432.240000000002</v>
      </c>
      <c r="I210" s="26">
        <f t="shared" ref="I210:I220" si="419">AC210</f>
        <v>30277.97</v>
      </c>
      <c r="J210" s="26"/>
      <c r="N210" s="26">
        <v>14339.33</v>
      </c>
      <c r="O210" s="26">
        <v>14539.78</v>
      </c>
      <c r="P210" s="26">
        <v>15344.75</v>
      </c>
      <c r="Q210" s="26">
        <f t="shared" ref="Q210:Q220" si="420">F210</f>
        <v>15824.26</v>
      </c>
      <c r="R210" s="35">
        <v>16387.060000000001</v>
      </c>
      <c r="S210" s="35">
        <v>17322.41</v>
      </c>
      <c r="T210" s="35">
        <v>18473.48</v>
      </c>
      <c r="U210" s="35">
        <f t="shared" ref="U210:U220" si="421">G210</f>
        <v>19379.98</v>
      </c>
      <c r="V210" s="35">
        <v>20413.509999999998</v>
      </c>
      <c r="W210" s="35">
        <v>21310.97</v>
      </c>
      <c r="X210" s="35">
        <v>22404.49</v>
      </c>
      <c r="Y210" s="35">
        <v>23432.240000000002</v>
      </c>
      <c r="Z210" s="35">
        <v>25354.85</v>
      </c>
      <c r="AA210" s="35">
        <v>27020.92</v>
      </c>
      <c r="AB210" s="35">
        <v>28818.596000000001</v>
      </c>
      <c r="AC210" s="35">
        <v>30277.97</v>
      </c>
      <c r="AD210" s="69">
        <f t="shared" ref="AD210:AD221" si="422">IFERROR(AC210/Y210-1,"")</f>
        <v>0.2921500462610489</v>
      </c>
      <c r="AE210" s="69">
        <f t="shared" ref="AE210:AE221" si="423">IFERROR(AC210/AB210-1,"")</f>
        <v>5.0640010359977339E-2</v>
      </c>
      <c r="AF210" s="75"/>
      <c r="AG210" s="131"/>
    </row>
    <row r="211" spans="1:34" x14ac:dyDescent="0.35">
      <c r="A211" s="1" t="s">
        <v>65</v>
      </c>
      <c r="B211" s="26">
        <v>803.84</v>
      </c>
      <c r="C211" s="26">
        <v>1175.71</v>
      </c>
      <c r="D211" s="26">
        <v>2087.3200000000002</v>
      </c>
      <c r="E211" s="26">
        <v>3595.52</v>
      </c>
      <c r="F211" s="26">
        <v>4613.58</v>
      </c>
      <c r="G211" s="26">
        <v>6574.35</v>
      </c>
      <c r="H211" s="26">
        <f>Y211</f>
        <v>9879.89</v>
      </c>
      <c r="I211" s="26">
        <f>AC211</f>
        <v>13548.19</v>
      </c>
      <c r="J211" s="26"/>
      <c r="N211" s="26">
        <v>3652.61</v>
      </c>
      <c r="O211" s="26">
        <v>3917.97</v>
      </c>
      <c r="P211" s="26">
        <v>4244.7700000000004</v>
      </c>
      <c r="Q211" s="26">
        <f>F211</f>
        <v>4613.58</v>
      </c>
      <c r="R211" s="35">
        <v>4904.37</v>
      </c>
      <c r="S211" s="35">
        <v>5452.55</v>
      </c>
      <c r="T211" s="35">
        <v>5994.18</v>
      </c>
      <c r="U211" s="35">
        <f>G211</f>
        <v>6574.35</v>
      </c>
      <c r="V211" s="35">
        <v>7349.82</v>
      </c>
      <c r="W211" s="35">
        <v>8201.16</v>
      </c>
      <c r="X211" s="35">
        <v>9095.48</v>
      </c>
      <c r="Y211" s="35">
        <v>9879.89</v>
      </c>
      <c r="Z211" s="35">
        <v>10773.63</v>
      </c>
      <c r="AA211" s="35">
        <v>11747.39</v>
      </c>
      <c r="AB211" s="35">
        <v>12658.031999999999</v>
      </c>
      <c r="AC211" s="35">
        <v>13548.19</v>
      </c>
      <c r="AD211" s="69">
        <f>IFERROR(AC211/Y211-1,"")</f>
        <v>0.37128955889185011</v>
      </c>
      <c r="AE211" s="69">
        <f>IFERROR(AC211/AB211-1,"")</f>
        <v>7.0323570046275874E-2</v>
      </c>
      <c r="AF211" s="75"/>
      <c r="AG211" s="131"/>
    </row>
    <row r="212" spans="1:34" x14ac:dyDescent="0.35">
      <c r="A212" s="1" t="s">
        <v>64</v>
      </c>
      <c r="B212" s="26">
        <v>3098.04</v>
      </c>
      <c r="C212" s="26">
        <v>4824.8</v>
      </c>
      <c r="D212" s="26">
        <v>6943.49</v>
      </c>
      <c r="E212" s="26">
        <v>7847.28</v>
      </c>
      <c r="F212" s="26">
        <v>7963.53</v>
      </c>
      <c r="G212" s="26">
        <v>8668.4599999999991</v>
      </c>
      <c r="H212" s="26">
        <f t="shared" si="418"/>
        <v>10369.89</v>
      </c>
      <c r="I212" s="26">
        <f t="shared" si="419"/>
        <v>12910.28</v>
      </c>
      <c r="J212" s="26"/>
      <c r="N212" s="26">
        <v>7786.82</v>
      </c>
      <c r="O212" s="26">
        <v>7794.21</v>
      </c>
      <c r="P212" s="26">
        <v>7873.45</v>
      </c>
      <c r="Q212" s="26">
        <f t="shared" si="420"/>
        <v>7963.53</v>
      </c>
      <c r="R212" s="35">
        <v>8017.33</v>
      </c>
      <c r="S212" s="35">
        <v>8165.57</v>
      </c>
      <c r="T212" s="35">
        <v>8361.82</v>
      </c>
      <c r="U212" s="35">
        <f t="shared" si="421"/>
        <v>8668.4599999999991</v>
      </c>
      <c r="V212" s="35">
        <v>9145.51</v>
      </c>
      <c r="W212" s="35">
        <v>9528.36</v>
      </c>
      <c r="X212" s="35">
        <v>9994.15</v>
      </c>
      <c r="Y212" s="35">
        <v>10369.89</v>
      </c>
      <c r="Z212" s="35">
        <v>10866.52</v>
      </c>
      <c r="AA212" s="35">
        <v>11376.05</v>
      </c>
      <c r="AB212" s="35">
        <v>12045.311</v>
      </c>
      <c r="AC212" s="35">
        <v>12910.28</v>
      </c>
      <c r="AD212" s="69">
        <f t="shared" si="422"/>
        <v>0.24497752628041392</v>
      </c>
      <c r="AE212" s="69">
        <f t="shared" si="423"/>
        <v>7.1809602923494475E-2</v>
      </c>
      <c r="AF212" s="75"/>
      <c r="AG212" s="131"/>
    </row>
    <row r="213" spans="1:34" x14ac:dyDescent="0.35">
      <c r="A213" s="1" t="s">
        <v>32</v>
      </c>
      <c r="B213" s="26">
        <v>89.16</v>
      </c>
      <c r="C213" s="26">
        <v>136.69</v>
      </c>
      <c r="D213" s="26">
        <v>766.24</v>
      </c>
      <c r="E213" s="26">
        <v>1758.1</v>
      </c>
      <c r="F213" s="26">
        <v>2269.9699999999998</v>
      </c>
      <c r="G213" s="26">
        <v>4032.02</v>
      </c>
      <c r="H213" s="26">
        <f>Y213</f>
        <v>6390.22</v>
      </c>
      <c r="I213" s="26">
        <f>AC213</f>
        <v>8608.64</v>
      </c>
      <c r="J213" s="26"/>
      <c r="N213" s="26">
        <v>1781.45</v>
      </c>
      <c r="O213" s="26">
        <v>1874.78</v>
      </c>
      <c r="P213" s="26">
        <v>1981.87</v>
      </c>
      <c r="Q213" s="26">
        <f>F213</f>
        <v>2269.9699999999998</v>
      </c>
      <c r="R213" s="35">
        <v>2469.9</v>
      </c>
      <c r="S213" s="35">
        <v>2895.52</v>
      </c>
      <c r="T213" s="35">
        <v>3404.31</v>
      </c>
      <c r="U213" s="35">
        <f>G213</f>
        <v>4032.02</v>
      </c>
      <c r="V213" s="35">
        <v>4641.09</v>
      </c>
      <c r="W213" s="35">
        <v>5238.78</v>
      </c>
      <c r="X213" s="35">
        <v>5820.65</v>
      </c>
      <c r="Y213" s="35">
        <v>6390.22</v>
      </c>
      <c r="Z213" s="35">
        <v>6938.21</v>
      </c>
      <c r="AA213" s="35">
        <v>7521.4</v>
      </c>
      <c r="AB213" s="35">
        <v>8054.723</v>
      </c>
      <c r="AC213" s="35">
        <v>8608.64</v>
      </c>
      <c r="AD213" s="69">
        <f>IFERROR(AC213/Y213-1,"")</f>
        <v>0.34715862677654274</v>
      </c>
      <c r="AE213" s="69">
        <f>IFERROR(AC213/AB213-1,"")</f>
        <v>6.8769217762050916E-2</v>
      </c>
      <c r="AF213" s="75"/>
      <c r="AG213" s="131"/>
    </row>
    <row r="214" spans="1:34" x14ac:dyDescent="0.35">
      <c r="A214" s="1" t="s">
        <v>31</v>
      </c>
      <c r="B214" s="26">
        <v>762.72</v>
      </c>
      <c r="C214" s="26">
        <v>951.4</v>
      </c>
      <c r="D214" s="26">
        <v>2004.13</v>
      </c>
      <c r="E214" s="26">
        <v>3252.92</v>
      </c>
      <c r="F214" s="26">
        <v>3758.87</v>
      </c>
      <c r="G214" s="26">
        <v>4379.08</v>
      </c>
      <c r="H214" s="26">
        <f t="shared" si="418"/>
        <v>5386.06</v>
      </c>
      <c r="I214" s="26">
        <f t="shared" si="419"/>
        <v>6619.42</v>
      </c>
      <c r="J214" s="26"/>
      <c r="N214" s="26">
        <v>3282.39</v>
      </c>
      <c r="O214" s="26">
        <v>3476.23</v>
      </c>
      <c r="P214" s="26">
        <v>3595.59</v>
      </c>
      <c r="Q214" s="26">
        <f t="shared" si="420"/>
        <v>3758.87</v>
      </c>
      <c r="R214" s="35">
        <v>3820.46</v>
      </c>
      <c r="S214" s="35">
        <v>3992.5</v>
      </c>
      <c r="T214" s="35">
        <v>4145.3900000000003</v>
      </c>
      <c r="U214" s="35">
        <f t="shared" si="421"/>
        <v>4379.08</v>
      </c>
      <c r="V214" s="35">
        <v>4569.72</v>
      </c>
      <c r="W214" s="35">
        <v>4853.8599999999997</v>
      </c>
      <c r="X214" s="35">
        <v>5079.97</v>
      </c>
      <c r="Y214" s="35">
        <v>5386.06</v>
      </c>
      <c r="Z214" s="35">
        <v>5555.26</v>
      </c>
      <c r="AA214" s="35">
        <v>5852.94</v>
      </c>
      <c r="AB214" s="35">
        <v>6206.4009999999998</v>
      </c>
      <c r="AC214" s="35">
        <v>6619.42</v>
      </c>
      <c r="AD214" s="69">
        <f t="shared" si="422"/>
        <v>0.22899113637798307</v>
      </c>
      <c r="AE214" s="69">
        <f t="shared" si="423"/>
        <v>6.6547263059541395E-2</v>
      </c>
      <c r="AF214" s="75"/>
      <c r="AG214" s="131"/>
    </row>
    <row r="215" spans="1:34" x14ac:dyDescent="0.35">
      <c r="A215" s="1" t="s">
        <v>104</v>
      </c>
      <c r="B215" s="26">
        <v>126.84</v>
      </c>
      <c r="C215" s="26">
        <v>211.08</v>
      </c>
      <c r="D215" s="26">
        <v>643.71</v>
      </c>
      <c r="E215" s="26">
        <v>1412.91</v>
      </c>
      <c r="F215" s="26">
        <v>1819</v>
      </c>
      <c r="G215" s="26">
        <v>2612.94</v>
      </c>
      <c r="H215" s="26">
        <f>Y215</f>
        <v>3684.43</v>
      </c>
      <c r="I215" s="26">
        <f>AC215</f>
        <v>6019.94</v>
      </c>
      <c r="J215" s="26"/>
      <c r="N215" s="26">
        <v>1415.97</v>
      </c>
      <c r="O215" s="26">
        <v>1522.15</v>
      </c>
      <c r="P215" s="26">
        <v>1694.05</v>
      </c>
      <c r="Q215" s="26">
        <f>F215</f>
        <v>1819</v>
      </c>
      <c r="R215" s="35">
        <v>1917.65</v>
      </c>
      <c r="S215" s="35">
        <v>2107.66</v>
      </c>
      <c r="T215" s="35">
        <v>2342.39</v>
      </c>
      <c r="U215" s="35">
        <f>G215</f>
        <v>2612.94</v>
      </c>
      <c r="V215" s="35">
        <v>2899.71</v>
      </c>
      <c r="W215" s="35">
        <v>3159.08</v>
      </c>
      <c r="X215" s="35">
        <v>3440.8</v>
      </c>
      <c r="Y215" s="35">
        <v>3684.43</v>
      </c>
      <c r="Z215" s="35">
        <v>4140.42</v>
      </c>
      <c r="AA215" s="35">
        <v>4635.62</v>
      </c>
      <c r="AB215" s="35">
        <v>5229.4620000000004</v>
      </c>
      <c r="AC215" s="35">
        <v>6019.94</v>
      </c>
      <c r="AD215" s="69">
        <f>IFERROR(AC215/Y215-1,"")</f>
        <v>0.63388638133985453</v>
      </c>
      <c r="AE215" s="69">
        <f>IFERROR(AC215/AB215-1,"")</f>
        <v>0.15115857042273162</v>
      </c>
      <c r="AF215" s="75"/>
      <c r="AG215" s="131"/>
    </row>
    <row r="216" spans="1:34" x14ac:dyDescent="0.35">
      <c r="A216" s="1" t="s">
        <v>187</v>
      </c>
      <c r="B216" s="26">
        <v>187.41</v>
      </c>
      <c r="C216" s="26">
        <v>276.49</v>
      </c>
      <c r="D216" s="26">
        <v>482.32</v>
      </c>
      <c r="E216" s="26">
        <v>955.51</v>
      </c>
      <c r="F216" s="26">
        <v>1214.29</v>
      </c>
      <c r="G216" s="26">
        <v>2079.9899999999998</v>
      </c>
      <c r="H216" s="26">
        <f>Y216</f>
        <v>3612.9</v>
      </c>
      <c r="I216" s="26">
        <f>AC216</f>
        <v>5882.32</v>
      </c>
      <c r="J216" s="26"/>
      <c r="N216" s="26">
        <v>952.77</v>
      </c>
      <c r="O216" s="26">
        <v>982.69600000000003</v>
      </c>
      <c r="P216" s="26">
        <v>1098.44</v>
      </c>
      <c r="Q216" s="26">
        <f>F216</f>
        <v>1214.29</v>
      </c>
      <c r="R216" s="35">
        <v>1277.47</v>
      </c>
      <c r="S216" s="35">
        <v>1505.93</v>
      </c>
      <c r="T216" s="35">
        <v>1795.25</v>
      </c>
      <c r="U216" s="35">
        <f>G216</f>
        <v>2079.9899999999998</v>
      </c>
      <c r="V216" s="35">
        <v>2418.75</v>
      </c>
      <c r="W216" s="35">
        <v>2769.15</v>
      </c>
      <c r="X216" s="35">
        <v>3177.73</v>
      </c>
      <c r="Y216" s="35">
        <v>3612.9</v>
      </c>
      <c r="Z216" s="35">
        <v>4006.38</v>
      </c>
      <c r="AA216" s="35">
        <v>4480.46</v>
      </c>
      <c r="AB216" s="35">
        <v>5123.62</v>
      </c>
      <c r="AC216" s="35">
        <v>5882.32</v>
      </c>
      <c r="AD216" s="69">
        <f>IFERROR(AC216/Y216-1,"")</f>
        <v>0.62814359655678254</v>
      </c>
      <c r="AE216" s="69">
        <f>IFERROR(AC216/AB216-1,"")</f>
        <v>0.14807889734211366</v>
      </c>
      <c r="AF216" s="75"/>
      <c r="AG216" s="131"/>
    </row>
    <row r="217" spans="1:34" x14ac:dyDescent="0.35">
      <c r="A217" s="1" t="s">
        <v>33</v>
      </c>
      <c r="B217" s="26">
        <v>252.97</v>
      </c>
      <c r="C217" s="26">
        <v>408.47</v>
      </c>
      <c r="D217" s="26">
        <v>931.39</v>
      </c>
      <c r="E217" s="26">
        <v>1793.52</v>
      </c>
      <c r="F217" s="26">
        <v>2266.9299999999998</v>
      </c>
      <c r="G217" s="26">
        <v>3053.61</v>
      </c>
      <c r="H217" s="26">
        <f t="shared" si="418"/>
        <v>4097.59</v>
      </c>
      <c r="I217" s="26">
        <f t="shared" si="419"/>
        <v>5755.29</v>
      </c>
      <c r="J217" s="26"/>
      <c r="N217" s="26">
        <v>1813.29</v>
      </c>
      <c r="O217" s="26">
        <v>1909.15</v>
      </c>
      <c r="P217" s="26">
        <v>2105.52</v>
      </c>
      <c r="Q217" s="26">
        <f t="shared" si="420"/>
        <v>2266.9299999999998</v>
      </c>
      <c r="R217" s="35">
        <v>2292.81</v>
      </c>
      <c r="S217" s="35">
        <v>2552.13</v>
      </c>
      <c r="T217" s="35">
        <v>2847.24</v>
      </c>
      <c r="U217" s="35">
        <f t="shared" si="421"/>
        <v>3053.61</v>
      </c>
      <c r="V217" s="35">
        <v>3378.09</v>
      </c>
      <c r="W217" s="35">
        <v>3681.13</v>
      </c>
      <c r="X217" s="35">
        <v>3928.96</v>
      </c>
      <c r="Y217" s="35">
        <v>4097.59</v>
      </c>
      <c r="Z217" s="35">
        <v>4448.41</v>
      </c>
      <c r="AA217" s="35">
        <v>4829.59</v>
      </c>
      <c r="AB217" s="35">
        <v>5277.9390000000003</v>
      </c>
      <c r="AC217" s="35">
        <v>5755.29</v>
      </c>
      <c r="AD217" s="69">
        <f t="shared" si="422"/>
        <v>0.40455487249822442</v>
      </c>
      <c r="AE217" s="69">
        <f t="shared" si="423"/>
        <v>9.0442689845411151E-2</v>
      </c>
      <c r="AF217" s="75"/>
      <c r="AG217" s="131"/>
    </row>
    <row r="218" spans="1:34" x14ac:dyDescent="0.35">
      <c r="A218" s="1" t="s">
        <v>106</v>
      </c>
      <c r="B218" s="26" t="s">
        <v>107</v>
      </c>
      <c r="C218" s="26">
        <v>10.69</v>
      </c>
      <c r="D218" s="26">
        <v>87.08</v>
      </c>
      <c r="E218" s="26">
        <v>473.72</v>
      </c>
      <c r="F218" s="26">
        <v>793.23</v>
      </c>
      <c r="G218" s="26">
        <v>1737.22</v>
      </c>
      <c r="H218" s="26">
        <f>Y218</f>
        <v>3219.6</v>
      </c>
      <c r="I218" s="26">
        <f>AC218</f>
        <v>4696.3500000000004</v>
      </c>
      <c r="J218" s="26"/>
      <c r="N218" s="26">
        <v>480.32</v>
      </c>
      <c r="O218" s="26">
        <v>533.62</v>
      </c>
      <c r="P218" s="26">
        <v>642.89</v>
      </c>
      <c r="Q218" s="26">
        <f>F218</f>
        <v>793.23</v>
      </c>
      <c r="R218" s="35">
        <v>945.57</v>
      </c>
      <c r="S218" s="35">
        <v>1175.31</v>
      </c>
      <c r="T218" s="35">
        <v>1428.36</v>
      </c>
      <c r="U218" s="35">
        <f>G218</f>
        <v>1737.22</v>
      </c>
      <c r="V218" s="35">
        <v>2078.19</v>
      </c>
      <c r="W218" s="35">
        <v>2438.52</v>
      </c>
      <c r="X218" s="35">
        <v>2829.85</v>
      </c>
      <c r="Y218" s="35">
        <v>3219.6</v>
      </c>
      <c r="Z218" s="35">
        <v>3612.05</v>
      </c>
      <c r="AA218" s="35">
        <v>3940.06</v>
      </c>
      <c r="AB218" s="35">
        <v>4314.7030000000004</v>
      </c>
      <c r="AC218" s="35">
        <v>4696.3500000000004</v>
      </c>
      <c r="AD218" s="69">
        <f>IFERROR(AC218/Y218-1,"")</f>
        <v>0.4586749906820724</v>
      </c>
      <c r="AE218" s="69">
        <f>IFERROR(AC218/AB218-1,"")</f>
        <v>8.8452669859315991E-2</v>
      </c>
      <c r="AF218" s="75"/>
      <c r="AG218" s="131"/>
    </row>
    <row r="219" spans="1:34" x14ac:dyDescent="0.35">
      <c r="A219" s="1" t="s">
        <v>105</v>
      </c>
      <c r="B219" s="26">
        <v>63.94</v>
      </c>
      <c r="C219" s="26">
        <v>132.63</v>
      </c>
      <c r="D219" s="26">
        <v>203.9</v>
      </c>
      <c r="E219" s="26">
        <v>338.05</v>
      </c>
      <c r="F219" s="26">
        <v>478.14</v>
      </c>
      <c r="G219" s="26">
        <v>820.29</v>
      </c>
      <c r="H219" s="26">
        <f t="shared" si="418"/>
        <v>1319.81</v>
      </c>
      <c r="I219" s="26">
        <f t="shared" si="419"/>
        <v>1838.76</v>
      </c>
      <c r="J219" s="26"/>
      <c r="N219" s="26">
        <v>346.87</v>
      </c>
      <c r="O219" s="26">
        <v>372.71</v>
      </c>
      <c r="P219" s="26">
        <v>425.32</v>
      </c>
      <c r="Q219" s="26">
        <f t="shared" si="420"/>
        <v>478.14</v>
      </c>
      <c r="R219" s="35">
        <v>502.81</v>
      </c>
      <c r="S219" s="35">
        <v>576.16</v>
      </c>
      <c r="T219" s="35">
        <v>703.89</v>
      </c>
      <c r="U219" s="35">
        <f t="shared" si="421"/>
        <v>820.29</v>
      </c>
      <c r="V219" s="35">
        <v>935.54</v>
      </c>
      <c r="W219" s="35">
        <v>1044.9000000000001</v>
      </c>
      <c r="X219" s="35">
        <v>1180.71</v>
      </c>
      <c r="Y219" s="35">
        <v>1319.81</v>
      </c>
      <c r="Z219" s="35">
        <v>1461.32</v>
      </c>
      <c r="AA219" s="35">
        <v>1585.85</v>
      </c>
      <c r="AB219" s="35">
        <v>1676.133</v>
      </c>
      <c r="AC219" s="35">
        <v>1838.76</v>
      </c>
      <c r="AD219" s="69">
        <f t="shared" si="422"/>
        <v>0.39320053644085129</v>
      </c>
      <c r="AE219" s="69">
        <f t="shared" si="423"/>
        <v>9.7025116741929152E-2</v>
      </c>
      <c r="AF219" s="75"/>
      <c r="AG219" s="131"/>
    </row>
    <row r="220" spans="1:34" s="2" customFormat="1" x14ac:dyDescent="0.35">
      <c r="A220" s="1" t="s">
        <v>188</v>
      </c>
      <c r="B220" s="26">
        <v>288.33999999999997</v>
      </c>
      <c r="C220" s="26">
        <v>273.37</v>
      </c>
      <c r="D220" s="26">
        <v>326.3</v>
      </c>
      <c r="E220" s="26">
        <v>381.02</v>
      </c>
      <c r="F220" s="26">
        <v>408.92</v>
      </c>
      <c r="G220" s="26">
        <v>465.41</v>
      </c>
      <c r="H220" s="26">
        <f t="shared" si="418"/>
        <v>587.04999999999995</v>
      </c>
      <c r="I220" s="26">
        <f t="shared" si="419"/>
        <v>821.17</v>
      </c>
      <c r="J220" s="26"/>
      <c r="K220" s="1"/>
      <c r="L220" s="1"/>
      <c r="M220" s="1"/>
      <c r="N220" s="26">
        <v>373.31</v>
      </c>
      <c r="O220" s="26">
        <v>376.82</v>
      </c>
      <c r="P220" s="26">
        <v>399.82</v>
      </c>
      <c r="Q220" s="26">
        <f t="shared" si="420"/>
        <v>408.92</v>
      </c>
      <c r="R220" s="35">
        <v>407.25</v>
      </c>
      <c r="S220" s="35">
        <v>424.53</v>
      </c>
      <c r="T220" s="35">
        <v>444.17</v>
      </c>
      <c r="U220" s="35">
        <f t="shared" si="421"/>
        <v>465.41</v>
      </c>
      <c r="V220" s="35">
        <v>488.9</v>
      </c>
      <c r="W220" s="35">
        <v>528.46</v>
      </c>
      <c r="X220" s="35">
        <v>558.99</v>
      </c>
      <c r="Y220" s="35">
        <v>587.04999999999995</v>
      </c>
      <c r="Z220" s="35">
        <v>601.87</v>
      </c>
      <c r="AA220" s="35">
        <v>664.17</v>
      </c>
      <c r="AB220" s="35">
        <v>732.52300000000002</v>
      </c>
      <c r="AC220" s="35">
        <v>821.17</v>
      </c>
      <c r="AD220" s="69">
        <f t="shared" si="422"/>
        <v>0.39880759730857673</v>
      </c>
      <c r="AE220" s="69">
        <f t="shared" si="423"/>
        <v>0.1210159954021921</v>
      </c>
      <c r="AF220" s="75"/>
      <c r="AG220" s="131"/>
    </row>
    <row r="221" spans="1:34" x14ac:dyDescent="0.35">
      <c r="A221" s="2" t="s">
        <v>35</v>
      </c>
      <c r="B221" s="4">
        <f t="shared" ref="B221:I221" si="424">SUM(B210:B220)</f>
        <v>8473.16</v>
      </c>
      <c r="C221" s="4">
        <f t="shared" si="424"/>
        <v>13559.32</v>
      </c>
      <c r="D221" s="4">
        <f t="shared" si="424"/>
        <v>24435.74</v>
      </c>
      <c r="E221" s="4">
        <f t="shared" si="424"/>
        <v>36183.599999999991</v>
      </c>
      <c r="F221" s="4">
        <f t="shared" si="424"/>
        <v>41410.720000000001</v>
      </c>
      <c r="G221" s="4">
        <f t="shared" si="424"/>
        <v>53803.350000000006</v>
      </c>
      <c r="H221" s="4">
        <f t="shared" si="424"/>
        <v>71979.680000000008</v>
      </c>
      <c r="I221" s="4">
        <f t="shared" si="424"/>
        <v>96978.33</v>
      </c>
      <c r="J221" s="4"/>
      <c r="K221" s="2"/>
      <c r="L221" s="2"/>
      <c r="M221" s="2"/>
      <c r="N221" s="4">
        <f t="shared" ref="N221:AC221" si="425">SUM(N210:N220)</f>
        <v>36225.129999999997</v>
      </c>
      <c r="O221" s="4">
        <f t="shared" si="425"/>
        <v>37300.116000000002</v>
      </c>
      <c r="P221" s="4">
        <f t="shared" si="425"/>
        <v>39406.47</v>
      </c>
      <c r="Q221" s="4">
        <f t="shared" si="425"/>
        <v>41410.720000000001</v>
      </c>
      <c r="R221" s="4">
        <f t="shared" si="425"/>
        <v>42942.68</v>
      </c>
      <c r="S221" s="4">
        <f t="shared" si="425"/>
        <v>46170.26999999999</v>
      </c>
      <c r="T221" s="4">
        <f t="shared" si="425"/>
        <v>49940.479999999989</v>
      </c>
      <c r="U221" s="4">
        <f t="shared" si="425"/>
        <v>53803.350000000006</v>
      </c>
      <c r="V221" s="4">
        <f t="shared" si="425"/>
        <v>58318.83</v>
      </c>
      <c r="W221" s="4">
        <f t="shared" si="425"/>
        <v>62754.37</v>
      </c>
      <c r="X221" s="4">
        <f t="shared" si="425"/>
        <v>67511.780000000028</v>
      </c>
      <c r="Y221" s="4">
        <f t="shared" si="425"/>
        <v>71979.680000000008</v>
      </c>
      <c r="Z221" s="4">
        <f t="shared" si="425"/>
        <v>77758.920000000013</v>
      </c>
      <c r="AA221" s="4">
        <f t="shared" si="425"/>
        <v>83654.450000000012</v>
      </c>
      <c r="AB221" s="4">
        <f t="shared" si="425"/>
        <v>90137.442999999985</v>
      </c>
      <c r="AC221" s="4">
        <f t="shared" si="425"/>
        <v>96978.33</v>
      </c>
      <c r="AD221" s="71">
        <f t="shared" si="422"/>
        <v>0.34730148842006514</v>
      </c>
      <c r="AE221" s="71">
        <f t="shared" si="423"/>
        <v>7.5893954524536733E-2</v>
      </c>
      <c r="AF221" s="76"/>
      <c r="AG221" s="119"/>
    </row>
    <row r="223" spans="1:34" x14ac:dyDescent="0.35">
      <c r="A223" s="1" t="s">
        <v>63</v>
      </c>
      <c r="B223" s="11">
        <f t="shared" ref="B223:I230" si="426">B210/B$221</f>
        <v>0.3304434237049696</v>
      </c>
      <c r="C223" s="11">
        <f t="shared" si="426"/>
        <v>0.38040181956027291</v>
      </c>
      <c r="D223" s="11">
        <f t="shared" si="426"/>
        <v>0.40759395868510634</v>
      </c>
      <c r="E223" s="11">
        <f t="shared" si="426"/>
        <v>0.39728081230170581</v>
      </c>
      <c r="F223" s="11">
        <f t="shared" si="426"/>
        <v>0.38212955485922484</v>
      </c>
      <c r="G223" s="11">
        <f t="shared" si="426"/>
        <v>0.3602002477540896</v>
      </c>
      <c r="H223" s="11">
        <f t="shared" si="426"/>
        <v>0.32553965230187187</v>
      </c>
      <c r="I223" s="11">
        <f t="shared" si="426"/>
        <v>0.31221376981847387</v>
      </c>
      <c r="J223" s="11"/>
      <c r="N223" s="11">
        <f t="shared" ref="N223:AC223" si="427">N210/N$221</f>
        <v>0.39583929719506877</v>
      </c>
      <c r="O223" s="11">
        <f t="shared" si="427"/>
        <v>0.38980522205346491</v>
      </c>
      <c r="P223" s="11">
        <f t="shared" si="427"/>
        <v>0.38939671581849378</v>
      </c>
      <c r="Q223" s="11">
        <f t="shared" si="427"/>
        <v>0.38212955485922484</v>
      </c>
      <c r="R223" s="11">
        <f t="shared" si="427"/>
        <v>0.38160310441733031</v>
      </c>
      <c r="S223" s="11">
        <f t="shared" si="427"/>
        <v>0.37518537361813142</v>
      </c>
      <c r="T223" s="11">
        <f t="shared" si="427"/>
        <v>0.36990994079352069</v>
      </c>
      <c r="U223" s="11">
        <f t="shared" si="427"/>
        <v>0.3602002477540896</v>
      </c>
      <c r="V223" s="11">
        <f t="shared" si="427"/>
        <v>0.35003291389762103</v>
      </c>
      <c r="W223" s="11">
        <f t="shared" si="427"/>
        <v>0.33959340202124572</v>
      </c>
      <c r="X223" s="11">
        <f t="shared" si="427"/>
        <v>0.33186045457548285</v>
      </c>
      <c r="Y223" s="11">
        <f t="shared" si="427"/>
        <v>0.32553965230187187</v>
      </c>
      <c r="Z223" s="11">
        <f t="shared" si="427"/>
        <v>0.32606998656874342</v>
      </c>
      <c r="AA223" s="11">
        <f t="shared" si="427"/>
        <v>0.32300636726438336</v>
      </c>
      <c r="AB223" s="11">
        <f t="shared" si="427"/>
        <v>0.31971836609565246</v>
      </c>
      <c r="AC223" s="11">
        <f t="shared" si="427"/>
        <v>0.31221376981847387</v>
      </c>
      <c r="AG223" s="116"/>
      <c r="AH223" s="112"/>
    </row>
    <row r="224" spans="1:34" x14ac:dyDescent="0.35">
      <c r="A224" s="1" t="s">
        <v>65</v>
      </c>
      <c r="B224" s="11">
        <f t="shared" si="426"/>
        <v>9.4868974503018955E-2</v>
      </c>
      <c r="C224" s="11">
        <f t="shared" si="426"/>
        <v>8.6708625506293824E-2</v>
      </c>
      <c r="D224" s="11">
        <f t="shared" si="426"/>
        <v>8.5420781199996396E-2</v>
      </c>
      <c r="E224" s="11">
        <f t="shared" si="426"/>
        <v>9.9368774804054899E-2</v>
      </c>
      <c r="F224" s="11">
        <f t="shared" si="426"/>
        <v>0.11141028216848198</v>
      </c>
      <c r="G224" s="11">
        <f t="shared" si="426"/>
        <v>0.12219220550393237</v>
      </c>
      <c r="H224" s="11">
        <f t="shared" si="426"/>
        <v>0.13725943210639444</v>
      </c>
      <c r="I224" s="11">
        <f t="shared" si="426"/>
        <v>0.13970327185465042</v>
      </c>
      <c r="J224" s="11"/>
      <c r="N224" s="11">
        <f t="shared" ref="N224:AC224" si="428">N211/N$221</f>
        <v>0.10083083207706917</v>
      </c>
      <c r="O224" s="11">
        <f t="shared" si="428"/>
        <v>0.10503908352456597</v>
      </c>
      <c r="P224" s="11">
        <f t="shared" si="428"/>
        <v>0.10771759053779748</v>
      </c>
      <c r="Q224" s="11">
        <f t="shared" si="428"/>
        <v>0.11141028216848198</v>
      </c>
      <c r="R224" s="11">
        <f t="shared" si="428"/>
        <v>0.11420735734239222</v>
      </c>
      <c r="S224" s="11">
        <f t="shared" si="428"/>
        <v>0.11809655867292961</v>
      </c>
      <c r="T224" s="11">
        <f t="shared" si="428"/>
        <v>0.1200264795212221</v>
      </c>
      <c r="U224" s="11">
        <f t="shared" si="428"/>
        <v>0.12219220550393237</v>
      </c>
      <c r="V224" s="11">
        <f t="shared" si="428"/>
        <v>0.12602824850910074</v>
      </c>
      <c r="W224" s="11">
        <f t="shared" si="428"/>
        <v>0.13068667568489653</v>
      </c>
      <c r="X224" s="11">
        <f t="shared" si="428"/>
        <v>0.13472433995963365</v>
      </c>
      <c r="Y224" s="11">
        <f t="shared" si="428"/>
        <v>0.13725943210639444</v>
      </c>
      <c r="Z224" s="11">
        <f t="shared" si="428"/>
        <v>0.13855169284758581</v>
      </c>
      <c r="AA224" s="11">
        <f t="shared" si="428"/>
        <v>0.14042755645396029</v>
      </c>
      <c r="AB224" s="11">
        <f t="shared" si="428"/>
        <v>0.14043034258249373</v>
      </c>
      <c r="AC224" s="11">
        <f t="shared" si="428"/>
        <v>0.13970327185465042</v>
      </c>
      <c r="AG224" s="116"/>
      <c r="AH224" s="112"/>
    </row>
    <row r="225" spans="1:35" x14ac:dyDescent="0.35">
      <c r="A225" s="1" t="s">
        <v>64</v>
      </c>
      <c r="B225" s="11">
        <f t="shared" si="426"/>
        <v>0.36562982405619626</v>
      </c>
      <c r="C225" s="11">
        <f t="shared" si="426"/>
        <v>0.35582905337435805</v>
      </c>
      <c r="D225" s="11">
        <f t="shared" si="426"/>
        <v>0.28415304795353036</v>
      </c>
      <c r="E225" s="11">
        <f t="shared" si="426"/>
        <v>0.21687394289125464</v>
      </c>
      <c r="F225" s="11">
        <f t="shared" si="426"/>
        <v>0.19230600192413944</v>
      </c>
      <c r="G225" s="11">
        <f t="shared" si="426"/>
        <v>0.16111375964507782</v>
      </c>
      <c r="H225" s="11">
        <f t="shared" si="426"/>
        <v>0.14406690888317367</v>
      </c>
      <c r="I225" s="11">
        <f t="shared" si="426"/>
        <v>0.13312541059430494</v>
      </c>
      <c r="J225" s="11"/>
      <c r="N225" s="11">
        <f t="shared" ref="N225:AC225" si="429">N212/N$221</f>
        <v>0.21495630243424937</v>
      </c>
      <c r="O225" s="11">
        <f t="shared" si="429"/>
        <v>0.20895940377236361</v>
      </c>
      <c r="P225" s="11">
        <f t="shared" si="429"/>
        <v>0.19980094639281315</v>
      </c>
      <c r="Q225" s="11">
        <f t="shared" si="429"/>
        <v>0.19230600192413944</v>
      </c>
      <c r="R225" s="11">
        <f t="shared" si="429"/>
        <v>0.18669840820367989</v>
      </c>
      <c r="S225" s="11">
        <f t="shared" si="429"/>
        <v>0.17685774850352839</v>
      </c>
      <c r="T225" s="11">
        <f t="shared" si="429"/>
        <v>0.1674357154757023</v>
      </c>
      <c r="U225" s="11">
        <f t="shared" si="429"/>
        <v>0.16111375964507782</v>
      </c>
      <c r="V225" s="11">
        <f t="shared" si="429"/>
        <v>0.15681916115258143</v>
      </c>
      <c r="W225" s="11">
        <f t="shared" si="429"/>
        <v>0.15183580043907699</v>
      </c>
      <c r="X225" s="11">
        <f t="shared" si="429"/>
        <v>0.14803564651976286</v>
      </c>
      <c r="Y225" s="11">
        <f t="shared" si="429"/>
        <v>0.14406690888317367</v>
      </c>
      <c r="Z225" s="11">
        <f t="shared" si="429"/>
        <v>0.13974628248437604</v>
      </c>
      <c r="AA225" s="11">
        <f t="shared" si="429"/>
        <v>0.13598858159966382</v>
      </c>
      <c r="AB225" s="11">
        <f t="shared" si="429"/>
        <v>0.13363271243449854</v>
      </c>
      <c r="AC225" s="11">
        <f t="shared" si="429"/>
        <v>0.13312541059430494</v>
      </c>
      <c r="AG225" s="116"/>
      <c r="AH225" s="112"/>
    </row>
    <row r="226" spans="1:35" x14ac:dyDescent="0.35">
      <c r="A226" s="1" t="s">
        <v>32</v>
      </c>
      <c r="B226" s="11">
        <f t="shared" si="426"/>
        <v>1.0522638543353365E-2</v>
      </c>
      <c r="C226" s="11">
        <f t="shared" si="426"/>
        <v>1.0080889012133352E-2</v>
      </c>
      <c r="D226" s="11">
        <f t="shared" si="426"/>
        <v>3.1357347884696761E-2</v>
      </c>
      <c r="E226" s="11">
        <f t="shared" si="426"/>
        <v>4.8588310726406445E-2</v>
      </c>
      <c r="F226" s="11">
        <f t="shared" si="426"/>
        <v>5.4815999335437772E-2</v>
      </c>
      <c r="G226" s="11">
        <f t="shared" si="426"/>
        <v>7.4939943330666212E-2</v>
      </c>
      <c r="H226" s="11">
        <f t="shared" si="426"/>
        <v>8.8778110711245167E-2</v>
      </c>
      <c r="I226" s="11">
        <f t="shared" si="426"/>
        <v>8.8768697089339432E-2</v>
      </c>
      <c r="J226" s="11"/>
      <c r="N226" s="11">
        <f t="shared" ref="N226:AC226" si="430">N213/N$221</f>
        <v>4.9177187217823652E-2</v>
      </c>
      <c r="O226" s="11">
        <f t="shared" si="430"/>
        <v>5.0262042080512562E-2</v>
      </c>
      <c r="P226" s="11">
        <f t="shared" si="430"/>
        <v>5.0293010259482768E-2</v>
      </c>
      <c r="Q226" s="11">
        <f t="shared" si="430"/>
        <v>5.4815999335437772E-2</v>
      </c>
      <c r="R226" s="11">
        <f t="shared" si="430"/>
        <v>5.7516205323002667E-2</v>
      </c>
      <c r="S226" s="11">
        <f t="shared" si="430"/>
        <v>6.2713949907592062E-2</v>
      </c>
      <c r="T226" s="11">
        <f t="shared" si="430"/>
        <v>6.8167346409165483E-2</v>
      </c>
      <c r="U226" s="11">
        <f t="shared" si="430"/>
        <v>7.4939943330666212E-2</v>
      </c>
      <c r="V226" s="11">
        <f t="shared" si="430"/>
        <v>7.9581329049296767E-2</v>
      </c>
      <c r="W226" s="11">
        <f t="shared" si="430"/>
        <v>8.3480720147457457E-2</v>
      </c>
      <c r="X226" s="11">
        <f t="shared" si="430"/>
        <v>8.6216805422698037E-2</v>
      </c>
      <c r="Y226" s="11">
        <f t="shared" si="430"/>
        <v>8.8778110711245167E-2</v>
      </c>
      <c r="Z226" s="11">
        <f t="shared" si="430"/>
        <v>8.9227190912630969E-2</v>
      </c>
      <c r="AA226" s="11">
        <f t="shared" si="430"/>
        <v>8.991033949777924E-2</v>
      </c>
      <c r="AB226" s="11">
        <f t="shared" si="430"/>
        <v>8.9360455898443908E-2</v>
      </c>
      <c r="AC226" s="11">
        <f t="shared" si="430"/>
        <v>8.8768697089339432E-2</v>
      </c>
      <c r="AG226" s="116"/>
      <c r="AH226" s="112"/>
    </row>
    <row r="227" spans="1:35" x14ac:dyDescent="0.35">
      <c r="A227" s="1" t="s">
        <v>31</v>
      </c>
      <c r="B227" s="11">
        <f t="shared" si="426"/>
        <v>9.0016003474500658E-2</v>
      </c>
      <c r="C227" s="11">
        <f t="shared" si="426"/>
        <v>7.0165760524864076E-2</v>
      </c>
      <c r="D227" s="11">
        <f t="shared" si="426"/>
        <v>8.2016341637290296E-2</v>
      </c>
      <c r="E227" s="11">
        <f t="shared" si="426"/>
        <v>8.9900396864878038E-2</v>
      </c>
      <c r="F227" s="11">
        <f t="shared" si="426"/>
        <v>9.0770457504723415E-2</v>
      </c>
      <c r="G227" s="11">
        <f t="shared" si="426"/>
        <v>8.1390471039442705E-2</v>
      </c>
      <c r="H227" s="11">
        <f t="shared" si="426"/>
        <v>7.4827506874162258E-2</v>
      </c>
      <c r="I227" s="11">
        <f t="shared" si="426"/>
        <v>6.8256691984693904E-2</v>
      </c>
      <c r="J227" s="11"/>
      <c r="N227" s="11">
        <f t="shared" ref="N227:AC227" si="431">N214/N$221</f>
        <v>9.061085495069307E-2</v>
      </c>
      <c r="O227" s="11">
        <f t="shared" si="431"/>
        <v>9.3196224912544506E-2</v>
      </c>
      <c r="P227" s="11">
        <f t="shared" si="431"/>
        <v>9.1243646030715261E-2</v>
      </c>
      <c r="Q227" s="11">
        <f t="shared" si="431"/>
        <v>9.0770457504723415E-2</v>
      </c>
      <c r="R227" s="11">
        <f t="shared" si="431"/>
        <v>8.896650139208824E-2</v>
      </c>
      <c r="S227" s="11">
        <f t="shared" si="431"/>
        <v>8.6473395109017137E-2</v>
      </c>
      <c r="T227" s="11">
        <f t="shared" si="431"/>
        <v>8.3006611069817535E-2</v>
      </c>
      <c r="U227" s="11">
        <f t="shared" si="431"/>
        <v>8.1390471039442705E-2</v>
      </c>
      <c r="V227" s="11">
        <f t="shared" si="431"/>
        <v>7.8357539065855741E-2</v>
      </c>
      <c r="W227" s="11">
        <f t="shared" si="431"/>
        <v>7.7346964044097632E-2</v>
      </c>
      <c r="X227" s="11">
        <f t="shared" si="431"/>
        <v>7.5245683049684042E-2</v>
      </c>
      <c r="Y227" s="11">
        <f t="shared" si="431"/>
        <v>7.4827506874162258E-2</v>
      </c>
      <c r="Z227" s="11">
        <f t="shared" si="431"/>
        <v>7.1442093074337965E-2</v>
      </c>
      <c r="AA227" s="11">
        <f t="shared" si="431"/>
        <v>6.9965674270765013E-2</v>
      </c>
      <c r="AB227" s="11">
        <f t="shared" si="431"/>
        <v>6.885485979450294E-2</v>
      </c>
      <c r="AC227" s="11">
        <f t="shared" si="431"/>
        <v>6.8256691984693904E-2</v>
      </c>
      <c r="AG227" s="116"/>
      <c r="AH227" s="112"/>
    </row>
    <row r="228" spans="1:35" x14ac:dyDescent="0.35">
      <c r="A228" s="1" t="s">
        <v>104</v>
      </c>
      <c r="B228" s="11">
        <f t="shared" si="426"/>
        <v>1.4969621723182379E-2</v>
      </c>
      <c r="C228" s="11">
        <f t="shared" si="426"/>
        <v>1.5567152335072852E-2</v>
      </c>
      <c r="D228" s="11">
        <f t="shared" si="426"/>
        <v>2.6342971401725507E-2</v>
      </c>
      <c r="E228" s="11">
        <f t="shared" si="426"/>
        <v>3.9048353397671882E-2</v>
      </c>
      <c r="F228" s="11">
        <f t="shared" si="426"/>
        <v>4.3925824037833683E-2</v>
      </c>
      <c r="G228" s="11">
        <f t="shared" si="426"/>
        <v>4.8564633986545445E-2</v>
      </c>
      <c r="H228" s="11">
        <f t="shared" si="426"/>
        <v>5.1187085021772806E-2</v>
      </c>
      <c r="I228" s="11">
        <f t="shared" si="426"/>
        <v>6.2075104819808706E-2</v>
      </c>
      <c r="J228" s="11"/>
      <c r="N228" s="11">
        <f t="shared" ref="N228:AC228" si="432">N215/N$221</f>
        <v>3.9088058483157967E-2</v>
      </c>
      <c r="O228" s="11">
        <f t="shared" si="432"/>
        <v>4.0808184081786769E-2</v>
      </c>
      <c r="P228" s="11">
        <f t="shared" si="432"/>
        <v>4.2989133510309342E-2</v>
      </c>
      <c r="Q228" s="11">
        <f t="shared" si="432"/>
        <v>4.3925824037833683E-2</v>
      </c>
      <c r="R228" s="11">
        <f t="shared" si="432"/>
        <v>4.4656039166628636E-2</v>
      </c>
      <c r="S228" s="11">
        <f t="shared" si="432"/>
        <v>4.564972221301717E-2</v>
      </c>
      <c r="T228" s="11">
        <f t="shared" si="432"/>
        <v>4.6903634086015999E-2</v>
      </c>
      <c r="U228" s="11">
        <f t="shared" si="432"/>
        <v>4.8564633986545445E-2</v>
      </c>
      <c r="V228" s="11">
        <f t="shared" si="432"/>
        <v>4.9721676515115269E-2</v>
      </c>
      <c r="W228" s="11">
        <f t="shared" si="432"/>
        <v>5.0340398604909901E-2</v>
      </c>
      <c r="X228" s="11">
        <f t="shared" si="432"/>
        <v>5.0965920317905984E-2</v>
      </c>
      <c r="Y228" s="11">
        <f t="shared" si="432"/>
        <v>5.1187085021772806E-2</v>
      </c>
      <c r="Z228" s="11">
        <f t="shared" si="432"/>
        <v>5.3246881515329678E-2</v>
      </c>
      <c r="AA228" s="11">
        <f t="shared" si="432"/>
        <v>5.5413908046732713E-2</v>
      </c>
      <c r="AB228" s="11">
        <f t="shared" si="432"/>
        <v>5.8016533706198005E-2</v>
      </c>
      <c r="AC228" s="11">
        <f t="shared" si="432"/>
        <v>6.2075104819808706E-2</v>
      </c>
      <c r="AG228" s="116"/>
      <c r="AH228" s="112"/>
    </row>
    <row r="229" spans="1:35" x14ac:dyDescent="0.35">
      <c r="A229" s="1" t="s">
        <v>187</v>
      </c>
      <c r="B229" s="11">
        <f t="shared" si="426"/>
        <v>2.2118076372923443E-2</v>
      </c>
      <c r="C229" s="11">
        <f t="shared" si="426"/>
        <v>2.0391140558671084E-2</v>
      </c>
      <c r="D229" s="11">
        <f t="shared" si="426"/>
        <v>1.9738301356946829E-2</v>
      </c>
      <c r="E229" s="11">
        <f t="shared" si="426"/>
        <v>2.640726738080236E-2</v>
      </c>
      <c r="F229" s="11">
        <f t="shared" si="426"/>
        <v>2.9323083491424443E-2</v>
      </c>
      <c r="G229" s="11">
        <f t="shared" si="426"/>
        <v>3.8659116950896175E-2</v>
      </c>
      <c r="H229" s="11">
        <f t="shared" si="426"/>
        <v>5.0193332340460528E-2</v>
      </c>
      <c r="I229" s="11">
        <f t="shared" si="426"/>
        <v>6.06560249078325E-2</v>
      </c>
      <c r="J229" s="11"/>
      <c r="N229" s="11">
        <f t="shared" ref="N229:AC229" si="433">N216/N$221</f>
        <v>2.6301354888167414E-2</v>
      </c>
      <c r="O229" s="11">
        <f t="shared" si="433"/>
        <v>2.634565533254642E-2</v>
      </c>
      <c r="P229" s="11">
        <f t="shared" si="433"/>
        <v>2.7874610438336649E-2</v>
      </c>
      <c r="Q229" s="11">
        <f t="shared" si="433"/>
        <v>2.9323083491424443E-2</v>
      </c>
      <c r="R229" s="11">
        <f t="shared" si="433"/>
        <v>2.9748259773260542E-2</v>
      </c>
      <c r="S229" s="11">
        <f t="shared" si="433"/>
        <v>3.2616876617788899E-2</v>
      </c>
      <c r="T229" s="11">
        <f t="shared" si="433"/>
        <v>3.5947792251896662E-2</v>
      </c>
      <c r="U229" s="11">
        <f t="shared" si="433"/>
        <v>3.8659116950896175E-2</v>
      </c>
      <c r="V229" s="11">
        <f t="shared" si="433"/>
        <v>4.1474597484208786E-2</v>
      </c>
      <c r="W229" s="11">
        <f t="shared" si="433"/>
        <v>4.4126807423929201E-2</v>
      </c>
      <c r="X229" s="11">
        <f t="shared" si="433"/>
        <v>4.7069267022732904E-2</v>
      </c>
      <c r="Y229" s="11">
        <f t="shared" si="433"/>
        <v>5.0193332340460528E-2</v>
      </c>
      <c r="Z229" s="11">
        <f t="shared" si="433"/>
        <v>5.1523092141711836E-2</v>
      </c>
      <c r="AA229" s="11">
        <f t="shared" si="433"/>
        <v>5.3559135228311218E-2</v>
      </c>
      <c r="AB229" s="11">
        <f t="shared" si="433"/>
        <v>5.6842304701277144E-2</v>
      </c>
      <c r="AC229" s="11">
        <f t="shared" si="433"/>
        <v>6.06560249078325E-2</v>
      </c>
      <c r="AG229" s="116"/>
      <c r="AH229" s="112"/>
    </row>
    <row r="230" spans="1:35" x14ac:dyDescent="0.35">
      <c r="A230" s="1" t="s">
        <v>33</v>
      </c>
      <c r="B230" s="11">
        <f t="shared" si="426"/>
        <v>2.9855449442710867E-2</v>
      </c>
      <c r="C230" s="11">
        <f t="shared" si="426"/>
        <v>3.0124667018700056E-2</v>
      </c>
      <c r="D230" s="11">
        <f t="shared" si="426"/>
        <v>3.8115890904061013E-2</v>
      </c>
      <c r="E230" s="11">
        <f t="shared" si="426"/>
        <v>4.95672072430604E-2</v>
      </c>
      <c r="F230" s="11">
        <f t="shared" si="426"/>
        <v>5.4742588392570804E-2</v>
      </c>
      <c r="G230" s="11">
        <f t="shared" si="426"/>
        <v>5.6755016183936496E-2</v>
      </c>
      <c r="H230" s="11">
        <f t="shared" si="426"/>
        <v>5.6927038297475065E-2</v>
      </c>
      <c r="I230" s="11">
        <f t="shared" si="426"/>
        <v>5.9346144649015921E-2</v>
      </c>
      <c r="J230" s="11"/>
      <c r="N230" s="11">
        <f t="shared" ref="N230:AC230" si="434">N217/N$221</f>
        <v>5.00561350642496E-2</v>
      </c>
      <c r="O230" s="11">
        <f t="shared" si="434"/>
        <v>5.1183486936072796E-2</v>
      </c>
      <c r="P230" s="11">
        <f t="shared" si="434"/>
        <v>5.3430819862829632E-2</v>
      </c>
      <c r="Q230" s="11">
        <f t="shared" si="434"/>
        <v>5.4742588392570804E-2</v>
      </c>
      <c r="R230" s="11">
        <f t="shared" si="434"/>
        <v>5.3392336016289621E-2</v>
      </c>
      <c r="S230" s="11">
        <f t="shared" si="434"/>
        <v>5.5276479864640182E-2</v>
      </c>
      <c r="T230" s="11">
        <f t="shared" si="434"/>
        <v>5.7012667879844173E-2</v>
      </c>
      <c r="U230" s="11">
        <f t="shared" si="434"/>
        <v>5.6755016183936496E-2</v>
      </c>
      <c r="V230" s="11">
        <f t="shared" si="434"/>
        <v>5.7924515975371932E-2</v>
      </c>
      <c r="W230" s="11">
        <f t="shared" si="434"/>
        <v>5.8659341174168426E-2</v>
      </c>
      <c r="X230" s="11">
        <f t="shared" si="434"/>
        <v>5.8196658420204571E-2</v>
      </c>
      <c r="Y230" s="11">
        <f t="shared" si="434"/>
        <v>5.6927038297475065E-2</v>
      </c>
      <c r="Z230" s="11">
        <f t="shared" si="434"/>
        <v>5.7207713275853098E-2</v>
      </c>
      <c r="AA230" s="11">
        <f t="shared" si="434"/>
        <v>5.7732613148493588E-2</v>
      </c>
      <c r="AB230" s="11">
        <f t="shared" si="434"/>
        <v>5.8554345722897874E-2</v>
      </c>
      <c r="AC230" s="11">
        <f t="shared" si="434"/>
        <v>5.9346144649015921E-2</v>
      </c>
      <c r="AG230" s="116"/>
      <c r="AH230" s="112"/>
    </row>
    <row r="231" spans="1:35" x14ac:dyDescent="0.35">
      <c r="A231" s="1" t="s">
        <v>106</v>
      </c>
      <c r="B231" s="11"/>
      <c r="C231" s="11">
        <f t="shared" ref="C231:I233" si="435">C218/C$221</f>
        <v>7.8838761825814269E-4</v>
      </c>
      <c r="D231" s="11">
        <f t="shared" si="435"/>
        <v>3.5636326135406577E-3</v>
      </c>
      <c r="E231" s="11">
        <f t="shared" si="435"/>
        <v>1.3092119081572871E-2</v>
      </c>
      <c r="F231" s="11">
        <f t="shared" si="435"/>
        <v>1.9155184937620019E-2</v>
      </c>
      <c r="G231" s="11">
        <f t="shared" si="435"/>
        <v>3.2288324054171348E-2</v>
      </c>
      <c r="H231" s="11">
        <f t="shared" si="435"/>
        <v>4.4729290266364054E-2</v>
      </c>
      <c r="I231" s="11">
        <f t="shared" si="435"/>
        <v>4.8426798027971819E-2</v>
      </c>
      <c r="J231" s="11"/>
      <c r="N231" s="11">
        <f t="shared" ref="N231:AC231" si="436">N218/N$221</f>
        <v>1.325930369332008E-2</v>
      </c>
      <c r="O231" s="11">
        <f t="shared" si="436"/>
        <v>1.4306121728951191E-2</v>
      </c>
      <c r="P231" s="11">
        <f t="shared" si="436"/>
        <v>1.6314326048488991E-2</v>
      </c>
      <c r="Q231" s="11">
        <f t="shared" si="436"/>
        <v>1.9155184937620019E-2</v>
      </c>
      <c r="R231" s="11">
        <f t="shared" si="436"/>
        <v>2.2019352308705466E-2</v>
      </c>
      <c r="S231" s="11">
        <f t="shared" si="436"/>
        <v>2.5455991485429916E-2</v>
      </c>
      <c r="T231" s="11">
        <f t="shared" si="436"/>
        <v>2.8601246924338738E-2</v>
      </c>
      <c r="U231" s="11">
        <f t="shared" si="436"/>
        <v>3.2288324054171348E-2</v>
      </c>
      <c r="V231" s="11">
        <f t="shared" si="436"/>
        <v>3.5634974158432191E-2</v>
      </c>
      <c r="W231" s="11">
        <f t="shared" si="436"/>
        <v>3.8858170355307524E-2</v>
      </c>
      <c r="X231" s="11">
        <f t="shared" si="436"/>
        <v>4.1916388517677934E-2</v>
      </c>
      <c r="Y231" s="11">
        <f t="shared" si="436"/>
        <v>4.4729290266364054E-2</v>
      </c>
      <c r="Z231" s="11">
        <f t="shared" si="436"/>
        <v>4.6451905453419359E-2</v>
      </c>
      <c r="AA231" s="11">
        <f t="shared" si="436"/>
        <v>4.7099227835458835E-2</v>
      </c>
      <c r="AB231" s="11">
        <f t="shared" si="436"/>
        <v>4.786804302846711E-2</v>
      </c>
      <c r="AC231" s="11">
        <f t="shared" si="436"/>
        <v>4.8426798027971819E-2</v>
      </c>
      <c r="AG231" s="116"/>
      <c r="AH231" s="112"/>
    </row>
    <row r="232" spans="1:35" x14ac:dyDescent="0.35">
      <c r="A232" s="1" t="s">
        <v>105</v>
      </c>
      <c r="B232" s="11">
        <f>B219/B$221</f>
        <v>7.5461811177884048E-3</v>
      </c>
      <c r="C232" s="11">
        <f t="shared" si="435"/>
        <v>9.781463967219595E-3</v>
      </c>
      <c r="D232" s="11">
        <f t="shared" si="435"/>
        <v>8.3443349781917794E-3</v>
      </c>
      <c r="E232" s="11">
        <f t="shared" si="435"/>
        <v>9.3426303629268528E-3</v>
      </c>
      <c r="F232" s="11">
        <f t="shared" si="435"/>
        <v>1.1546285599477622E-2</v>
      </c>
      <c r="G232" s="11">
        <f t="shared" si="435"/>
        <v>1.5246076684816092E-2</v>
      </c>
      <c r="H232" s="11">
        <f t="shared" si="435"/>
        <v>1.8335869234206097E-2</v>
      </c>
      <c r="I232" s="11">
        <f t="shared" si="435"/>
        <v>1.8960524480056525E-2</v>
      </c>
      <c r="J232" s="11"/>
      <c r="N232" s="11">
        <f t="shared" ref="N232:AC232" si="437">N219/N$221</f>
        <v>9.5753969688997676E-3</v>
      </c>
      <c r="O232" s="11">
        <f t="shared" si="437"/>
        <v>9.9921941261523137E-3</v>
      </c>
      <c r="P232" s="11">
        <f t="shared" si="437"/>
        <v>1.0793151479947328E-2</v>
      </c>
      <c r="Q232" s="11">
        <f t="shared" si="437"/>
        <v>1.1546285599477622E-2</v>
      </c>
      <c r="R232" s="11">
        <f t="shared" si="437"/>
        <v>1.1708864001967273E-2</v>
      </c>
      <c r="S232" s="11">
        <f t="shared" si="437"/>
        <v>1.2479026005262695E-2</v>
      </c>
      <c r="T232" s="11">
        <f t="shared" si="437"/>
        <v>1.4094578185872465E-2</v>
      </c>
      <c r="U232" s="11">
        <f t="shared" si="437"/>
        <v>1.5246076684816092E-2</v>
      </c>
      <c r="V232" s="11">
        <f t="shared" si="437"/>
        <v>1.6041817025478734E-2</v>
      </c>
      <c r="W232" s="11">
        <f t="shared" si="437"/>
        <v>1.6650633254704016E-2</v>
      </c>
      <c r="X232" s="11">
        <f t="shared" si="437"/>
        <v>1.7488947854729937E-2</v>
      </c>
      <c r="Y232" s="11">
        <f t="shared" si="437"/>
        <v>1.8335869234206097E-2</v>
      </c>
      <c r="Z232" s="11">
        <f t="shared" si="437"/>
        <v>1.8792956486535561E-2</v>
      </c>
      <c r="AA232" s="11">
        <f t="shared" si="437"/>
        <v>1.8957150516200869E-2</v>
      </c>
      <c r="AB232" s="11">
        <f t="shared" si="437"/>
        <v>1.8595302287419006E-2</v>
      </c>
      <c r="AC232" s="11">
        <f t="shared" si="437"/>
        <v>1.8960524480056525E-2</v>
      </c>
      <c r="AG232" s="116"/>
      <c r="AH232" s="112"/>
    </row>
    <row r="233" spans="1:35" x14ac:dyDescent="0.35">
      <c r="A233" s="1" t="s">
        <v>188</v>
      </c>
      <c r="B233" s="11">
        <f>B220/B$221</f>
        <v>3.4029807061356089E-2</v>
      </c>
      <c r="C233" s="11">
        <f t="shared" si="435"/>
        <v>2.0161040524156078E-2</v>
      </c>
      <c r="D233" s="11">
        <f t="shared" si="435"/>
        <v>1.3353391384914063E-2</v>
      </c>
      <c r="E233" s="11">
        <f t="shared" si="435"/>
        <v>1.0530184945665995E-2</v>
      </c>
      <c r="F233" s="11">
        <f t="shared" si="435"/>
        <v>9.8747377490659427E-3</v>
      </c>
      <c r="G233" s="11">
        <f t="shared" si="435"/>
        <v>8.650204866425603E-3</v>
      </c>
      <c r="H233" s="11">
        <f t="shared" si="435"/>
        <v>8.1557739628739644E-3</v>
      </c>
      <c r="I233" s="11">
        <f t="shared" si="435"/>
        <v>8.4675617738519515E-3</v>
      </c>
      <c r="J233" s="11"/>
      <c r="N233" s="11">
        <f t="shared" ref="N233:AC233" si="438">N220/N$221</f>
        <v>1.0305277027301215E-2</v>
      </c>
      <c r="O233" s="11">
        <f t="shared" si="438"/>
        <v>1.0102381451038919E-2</v>
      </c>
      <c r="P233" s="11">
        <f t="shared" si="438"/>
        <v>1.0146049620785622E-2</v>
      </c>
      <c r="Q233" s="11">
        <f t="shared" si="438"/>
        <v>9.8747377490659427E-3</v>
      </c>
      <c r="R233" s="11">
        <f t="shared" si="438"/>
        <v>9.4835720546551823E-3</v>
      </c>
      <c r="S233" s="11">
        <f t="shared" si="438"/>
        <v>9.1948780026627538E-3</v>
      </c>
      <c r="T233" s="11">
        <f t="shared" si="438"/>
        <v>8.893987402604062E-3</v>
      </c>
      <c r="U233" s="11">
        <f t="shared" si="438"/>
        <v>8.650204866425603E-3</v>
      </c>
      <c r="V233" s="11">
        <f t="shared" si="438"/>
        <v>8.3832271669373338E-3</v>
      </c>
      <c r="W233" s="11">
        <f t="shared" si="438"/>
        <v>8.4210868502066077E-3</v>
      </c>
      <c r="X233" s="11">
        <f t="shared" si="438"/>
        <v>8.2798883394868232E-3</v>
      </c>
      <c r="Y233" s="11">
        <f t="shared" si="438"/>
        <v>8.1557739628739644E-3</v>
      </c>
      <c r="Z233" s="11">
        <f t="shared" si="438"/>
        <v>7.7402052394760614E-3</v>
      </c>
      <c r="AA233" s="11">
        <f t="shared" si="438"/>
        <v>7.9394461382508632E-3</v>
      </c>
      <c r="AB233" s="11">
        <f t="shared" si="438"/>
        <v>8.1267337481494804E-3</v>
      </c>
      <c r="AC233" s="11">
        <f t="shared" si="438"/>
        <v>8.4675617738519515E-3</v>
      </c>
      <c r="AG233" s="116"/>
      <c r="AH233" s="112"/>
    </row>
    <row r="234" spans="1:35" s="2" customFormat="1" x14ac:dyDescent="0.35">
      <c r="A234" s="2" t="s">
        <v>35</v>
      </c>
      <c r="B234" s="12">
        <f t="shared" ref="B234:I234" si="439">SUM(B223:B233)</f>
        <v>1</v>
      </c>
      <c r="C234" s="12">
        <f t="shared" si="439"/>
        <v>1.0000000000000002</v>
      </c>
      <c r="D234" s="12">
        <f t="shared" si="439"/>
        <v>1</v>
      </c>
      <c r="E234" s="12">
        <f t="shared" si="439"/>
        <v>1</v>
      </c>
      <c r="F234" s="12">
        <f t="shared" si="439"/>
        <v>1</v>
      </c>
      <c r="G234" s="12">
        <f t="shared" si="439"/>
        <v>1</v>
      </c>
      <c r="H234" s="12">
        <f t="shared" si="439"/>
        <v>0.99999999999999989</v>
      </c>
      <c r="I234" s="12">
        <f t="shared" si="439"/>
        <v>0.99999999999999989</v>
      </c>
      <c r="J234" s="12"/>
      <c r="N234" s="12">
        <f t="shared" ref="N234:AC234" si="440">SUM(N223:N233)</f>
        <v>1</v>
      </c>
      <c r="O234" s="12">
        <f t="shared" si="440"/>
        <v>0.99999999999999989</v>
      </c>
      <c r="P234" s="12">
        <f t="shared" si="440"/>
        <v>0.99999999999999989</v>
      </c>
      <c r="Q234" s="12">
        <f t="shared" si="440"/>
        <v>1</v>
      </c>
      <c r="R234" s="12">
        <f t="shared" si="440"/>
        <v>1</v>
      </c>
      <c r="S234" s="12">
        <f t="shared" si="440"/>
        <v>1.0000000000000004</v>
      </c>
      <c r="T234" s="12">
        <f t="shared" si="440"/>
        <v>1.0000000000000002</v>
      </c>
      <c r="U234" s="12">
        <f t="shared" si="440"/>
        <v>1</v>
      </c>
      <c r="V234" s="12">
        <f t="shared" si="440"/>
        <v>1</v>
      </c>
      <c r="W234" s="12">
        <f t="shared" si="440"/>
        <v>0.99999999999999978</v>
      </c>
      <c r="X234" s="12">
        <f t="shared" si="440"/>
        <v>0.99999999999999978</v>
      </c>
      <c r="Y234" s="12">
        <f t="shared" si="440"/>
        <v>0.99999999999999989</v>
      </c>
      <c r="Z234" s="12">
        <f t="shared" si="440"/>
        <v>0.99999999999999967</v>
      </c>
      <c r="AA234" s="12">
        <f t="shared" si="440"/>
        <v>0.99999999999999989</v>
      </c>
      <c r="AB234" s="12">
        <f t="shared" si="440"/>
        <v>1</v>
      </c>
      <c r="AC234" s="12">
        <f t="shared" si="440"/>
        <v>0.99999999999999989</v>
      </c>
      <c r="AD234" s="70"/>
      <c r="AE234" s="70"/>
      <c r="AF234" s="70"/>
      <c r="AG234" s="94"/>
    </row>
    <row r="235" spans="1:35" s="2" customFormat="1" x14ac:dyDescent="0.35">
      <c r="B235" s="4"/>
      <c r="C235" s="4"/>
      <c r="D235" s="4"/>
      <c r="E235" s="4"/>
      <c r="F235" s="4"/>
      <c r="G235" s="4"/>
      <c r="H235" s="4"/>
      <c r="I235" s="4"/>
      <c r="J235" s="4"/>
      <c r="N235" s="4"/>
      <c r="O235" s="4"/>
      <c r="P235" s="34"/>
      <c r="Q235" s="4"/>
      <c r="R235" s="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70"/>
      <c r="AE235" s="70"/>
      <c r="AF235" s="70"/>
    </row>
    <row r="236" spans="1:35" s="5" customFormat="1" x14ac:dyDescent="0.35">
      <c r="A236" s="5" t="s">
        <v>112</v>
      </c>
      <c r="B236" s="22" t="str">
        <f t="shared" ref="B236:I236" si="441">B$1</f>
        <v>FY17</v>
      </c>
      <c r="C236" s="22" t="str">
        <f t="shared" si="441"/>
        <v>FY18</v>
      </c>
      <c r="D236" s="22" t="str">
        <f t="shared" si="441"/>
        <v>FY19</v>
      </c>
      <c r="E236" s="22" t="str">
        <f t="shared" si="441"/>
        <v>FY20</v>
      </c>
      <c r="F236" s="22" t="str">
        <f t="shared" si="441"/>
        <v>FY21</v>
      </c>
      <c r="G236" s="22" t="str">
        <f t="shared" si="441"/>
        <v>FY22</v>
      </c>
      <c r="H236" s="22" t="str">
        <f t="shared" si="441"/>
        <v>FY23</v>
      </c>
      <c r="I236" s="22" t="str">
        <f t="shared" si="441"/>
        <v>FY24</v>
      </c>
      <c r="J236" s="22"/>
      <c r="N236" s="6" t="str">
        <f t="shared" ref="N236:AE236" si="442">N$1</f>
        <v>Q1FY21</v>
      </c>
      <c r="O236" s="6" t="str">
        <f t="shared" si="442"/>
        <v>Q2FY21</v>
      </c>
      <c r="P236" s="80" t="str">
        <f t="shared" si="442"/>
        <v>Q3FY21</v>
      </c>
      <c r="Q236" s="6" t="str">
        <f t="shared" si="442"/>
        <v>Q4FY21</v>
      </c>
      <c r="R236" s="6" t="str">
        <f t="shared" si="442"/>
        <v>Q1FY22</v>
      </c>
      <c r="S236" s="80" t="str">
        <f t="shared" si="442"/>
        <v>Q2FY22</v>
      </c>
      <c r="T236" s="80" t="str">
        <f t="shared" si="442"/>
        <v>Q3FY22</v>
      </c>
      <c r="U236" s="80" t="str">
        <f t="shared" si="442"/>
        <v>Q4FY22</v>
      </c>
      <c r="V236" s="80" t="str">
        <f t="shared" si="442"/>
        <v>Q1FY23</v>
      </c>
      <c r="W236" s="80" t="str">
        <f t="shared" si="442"/>
        <v>Q2FY23</v>
      </c>
      <c r="X236" s="80" t="str">
        <f t="shared" si="442"/>
        <v>Q3FY23</v>
      </c>
      <c r="Y236" s="80" t="str">
        <f t="shared" si="442"/>
        <v>Q4FY23</v>
      </c>
      <c r="Z236" s="80" t="str">
        <f t="shared" si="442"/>
        <v>Q1FY24</v>
      </c>
      <c r="AA236" s="80" t="str">
        <f t="shared" si="442"/>
        <v>Q2FY24</v>
      </c>
      <c r="AB236" s="80" t="str">
        <f t="shared" si="442"/>
        <v>Q3FY24</v>
      </c>
      <c r="AC236" s="80" t="str">
        <f t="shared" si="442"/>
        <v>Q4FY24</v>
      </c>
      <c r="AD236" s="6" t="str">
        <f t="shared" si="442"/>
        <v>y-o-y</v>
      </c>
      <c r="AE236" s="6" t="str">
        <f t="shared" si="442"/>
        <v>q-o-q</v>
      </c>
      <c r="AF236" s="6"/>
    </row>
    <row r="237" spans="1:35" x14ac:dyDescent="0.35">
      <c r="A237" s="1" t="s">
        <v>109</v>
      </c>
      <c r="B237" s="26">
        <v>1371.98</v>
      </c>
      <c r="C237" s="26">
        <v>2555.6799999999998</v>
      </c>
      <c r="D237" s="26">
        <v>6647.82</v>
      </c>
      <c r="E237" s="26">
        <v>10971.24</v>
      </c>
      <c r="F237" s="26">
        <v>13804.6</v>
      </c>
      <c r="G237" s="26">
        <v>19027.289000000001</v>
      </c>
      <c r="H237" s="26">
        <f t="shared" ref="H237:H239" si="443">Y237</f>
        <v>27972.799999999999</v>
      </c>
      <c r="I237" s="26">
        <f t="shared" ref="I237:I239" si="444">AC237</f>
        <v>36846.019999999997</v>
      </c>
      <c r="J237" s="26"/>
      <c r="N237" s="26">
        <v>11134.9</v>
      </c>
      <c r="O237" s="26">
        <v>11793.24</v>
      </c>
      <c r="P237" s="26">
        <v>12608.57</v>
      </c>
      <c r="Q237" s="26">
        <f>F237</f>
        <v>13804.6</v>
      </c>
      <c r="R237" s="26">
        <v>14510.96</v>
      </c>
      <c r="S237" s="26">
        <v>15975.04</v>
      </c>
      <c r="T237" s="26">
        <v>17358.18</v>
      </c>
      <c r="U237" s="26">
        <f>G237</f>
        <v>19027.289000000001</v>
      </c>
      <c r="V237" s="26">
        <v>20882.63</v>
      </c>
      <c r="W237" s="26">
        <v>23153.91</v>
      </c>
      <c r="X237" s="26">
        <v>25436.59</v>
      </c>
      <c r="Y237" s="26">
        <v>27972.799999999999</v>
      </c>
      <c r="Z237" s="26">
        <v>29835.9</v>
      </c>
      <c r="AA237" s="26">
        <v>31864.13</v>
      </c>
      <c r="AB237" s="26">
        <v>34272.400000000001</v>
      </c>
      <c r="AC237" s="26">
        <v>36846.019999999997</v>
      </c>
      <c r="AD237" s="69">
        <f>IFERROR(AC237/Y237-1,"")</f>
        <v>0.317208860035463</v>
      </c>
      <c r="AE237" s="69">
        <f>IFERROR(AC237/AB237-1,"")</f>
        <v>7.5093077811883457E-2</v>
      </c>
      <c r="AF237" s="75"/>
      <c r="AG237" s="118"/>
      <c r="AH237" s="117"/>
    </row>
    <row r="238" spans="1:35" x14ac:dyDescent="0.35">
      <c r="A238" s="1" t="s">
        <v>110</v>
      </c>
      <c r="B238" s="26">
        <v>4102.8900000000003</v>
      </c>
      <c r="C238" s="26">
        <v>6393.99</v>
      </c>
      <c r="D238" s="26">
        <v>12578.2</v>
      </c>
      <c r="E238" s="26">
        <v>17947.669999999998</v>
      </c>
      <c r="F238" s="26">
        <v>21041.18</v>
      </c>
      <c r="G238" s="26">
        <v>25828.964</v>
      </c>
      <c r="H238" s="26">
        <f t="shared" si="443"/>
        <v>33823.480000000003</v>
      </c>
      <c r="I238" s="26">
        <f t="shared" si="444"/>
        <v>42624.67</v>
      </c>
      <c r="J238" s="26"/>
      <c r="N238" s="26">
        <v>18102.63</v>
      </c>
      <c r="O238" s="26">
        <v>18947.73</v>
      </c>
      <c r="P238" s="26">
        <v>19752.16</v>
      </c>
      <c r="Q238" s="26">
        <f>F238</f>
        <v>21041.18</v>
      </c>
      <c r="R238" s="26">
        <v>21745.64</v>
      </c>
      <c r="S238" s="26">
        <v>23010.27</v>
      </c>
      <c r="T238" s="26">
        <v>24379.040000000001</v>
      </c>
      <c r="U238" s="26">
        <f>G238</f>
        <v>25828.964</v>
      </c>
      <c r="V238" s="26">
        <v>27416.6</v>
      </c>
      <c r="W238" s="26">
        <v>28985.08</v>
      </c>
      <c r="X238" s="26">
        <v>31266.37</v>
      </c>
      <c r="Y238" s="26">
        <v>33823.480000000003</v>
      </c>
      <c r="Z238" s="26">
        <v>35781.440000000002</v>
      </c>
      <c r="AA238" s="26">
        <v>37968.879999999997</v>
      </c>
      <c r="AB238" s="26">
        <v>40198.720000000001</v>
      </c>
      <c r="AC238" s="26">
        <v>42624.67</v>
      </c>
      <c r="AD238" s="69">
        <f>IFERROR(AC238/Y238-1,"")</f>
        <v>0.26020947578427744</v>
      </c>
      <c r="AE238" s="69">
        <f>IFERROR(AC238/AB238-1,"")</f>
        <v>6.0348936483549664E-2</v>
      </c>
      <c r="AF238" s="75"/>
      <c r="AG238" s="118"/>
      <c r="AH238" s="117"/>
    </row>
    <row r="239" spans="1:35" x14ac:dyDescent="0.35">
      <c r="A239" s="1" t="s">
        <v>111</v>
      </c>
      <c r="B239" s="26">
        <v>2998.29</v>
      </c>
      <c r="C239" s="26">
        <v>4609.6499999999996</v>
      </c>
      <c r="D239" s="26">
        <v>5209.72</v>
      </c>
      <c r="E239" s="26">
        <v>7264.69</v>
      </c>
      <c r="F239" s="26">
        <v>6564.94</v>
      </c>
      <c r="G239" s="26">
        <v>8947.0930000000008</v>
      </c>
      <c r="H239" s="26">
        <f t="shared" si="443"/>
        <v>10183.4</v>
      </c>
      <c r="I239" s="26">
        <f t="shared" si="444"/>
        <v>17507.64</v>
      </c>
      <c r="J239" s="26"/>
      <c r="N239" s="26">
        <v>6987.6</v>
      </c>
      <c r="O239" s="26">
        <v>6559.15</v>
      </c>
      <c r="P239" s="26">
        <v>7045.74</v>
      </c>
      <c r="Q239" s="26">
        <f>F239</f>
        <v>6564.94</v>
      </c>
      <c r="R239" s="26">
        <v>6686.08</v>
      </c>
      <c r="S239" s="26">
        <v>7184.97</v>
      </c>
      <c r="T239" s="26">
        <v>8203.26</v>
      </c>
      <c r="U239" s="26">
        <f>G239</f>
        <v>8947.0930000000008</v>
      </c>
      <c r="V239" s="26">
        <v>10019.6</v>
      </c>
      <c r="W239" s="26">
        <v>10615.38</v>
      </c>
      <c r="X239" s="26">
        <v>10808.82</v>
      </c>
      <c r="Y239" s="26">
        <v>10183.4</v>
      </c>
      <c r="Z239" s="26">
        <v>12141.58</v>
      </c>
      <c r="AA239" s="26">
        <v>13821.44</v>
      </c>
      <c r="AB239" s="26">
        <v>15666.32</v>
      </c>
      <c r="AC239" s="26">
        <v>17507.64</v>
      </c>
      <c r="AD239" s="69">
        <f>IFERROR(AC239/Y239-1,"")</f>
        <v>0.71923326197537163</v>
      </c>
      <c r="AE239" s="69">
        <f>IFERROR(AC239/AB239-1,"")</f>
        <v>0.11753366457470538</v>
      </c>
      <c r="AF239" s="75"/>
      <c r="AG239" s="118"/>
      <c r="AH239" s="117"/>
    </row>
    <row r="240" spans="1:35" s="2" customFormat="1" x14ac:dyDescent="0.35">
      <c r="A240" s="2" t="s">
        <v>35</v>
      </c>
      <c r="B240" s="4">
        <f t="shared" ref="B240:G240" si="445">SUM(B237:B239)</f>
        <v>8473.16</v>
      </c>
      <c r="C240" s="4">
        <f t="shared" si="445"/>
        <v>13559.32</v>
      </c>
      <c r="D240" s="4">
        <f t="shared" si="445"/>
        <v>24435.74</v>
      </c>
      <c r="E240" s="4">
        <f t="shared" si="445"/>
        <v>36183.599999999999</v>
      </c>
      <c r="F240" s="4">
        <f t="shared" si="445"/>
        <v>41410.720000000001</v>
      </c>
      <c r="G240" s="4">
        <f t="shared" si="445"/>
        <v>53803.345999999998</v>
      </c>
      <c r="H240" s="4">
        <f t="shared" ref="H240:I240" si="446">SUM(H237:H239)</f>
        <v>71979.679999999993</v>
      </c>
      <c r="I240" s="4">
        <f t="shared" si="446"/>
        <v>96978.33</v>
      </c>
      <c r="J240" s="4"/>
      <c r="N240" s="4">
        <f t="shared" ref="N240:U240" si="447">SUM(N237:N239)</f>
        <v>36225.129999999997</v>
      </c>
      <c r="O240" s="4">
        <f t="shared" si="447"/>
        <v>37300.120000000003</v>
      </c>
      <c r="P240" s="4">
        <f t="shared" si="447"/>
        <v>39406.47</v>
      </c>
      <c r="Q240" s="4">
        <f t="shared" si="447"/>
        <v>41410.720000000001</v>
      </c>
      <c r="R240" s="4">
        <f t="shared" si="447"/>
        <v>42942.68</v>
      </c>
      <c r="S240" s="4">
        <f t="shared" si="447"/>
        <v>46170.28</v>
      </c>
      <c r="T240" s="4">
        <f>SUM(T237:T239)</f>
        <v>49940.480000000003</v>
      </c>
      <c r="U240" s="4">
        <f t="shared" si="447"/>
        <v>53803.345999999998</v>
      </c>
      <c r="V240" s="4">
        <f t="shared" ref="V240:W240" si="448">SUM(V237:V239)</f>
        <v>58318.829999999994</v>
      </c>
      <c r="W240" s="4">
        <f t="shared" si="448"/>
        <v>62754.37</v>
      </c>
      <c r="X240" s="4">
        <f t="shared" ref="X240:AB240" si="449">SUM(X237:X239)</f>
        <v>67511.78</v>
      </c>
      <c r="Y240" s="4">
        <f t="shared" si="449"/>
        <v>71979.679999999993</v>
      </c>
      <c r="Z240" s="4">
        <f t="shared" si="449"/>
        <v>77758.92</v>
      </c>
      <c r="AA240" s="4">
        <f t="shared" si="449"/>
        <v>83654.45</v>
      </c>
      <c r="AB240" s="4">
        <f t="shared" si="449"/>
        <v>90137.44</v>
      </c>
      <c r="AC240" s="4">
        <f>SUM(AC237:AC239)</f>
        <v>96978.33</v>
      </c>
      <c r="AD240" s="71">
        <f>IFERROR(AC240/Y240-1,"")</f>
        <v>0.34730148842006536</v>
      </c>
      <c r="AE240" s="71">
        <f>IFERROR(AC240/AB240-1,"")</f>
        <v>7.5893990332984718E-2</v>
      </c>
      <c r="AF240" s="76"/>
      <c r="AG240" s="115"/>
      <c r="AH240" s="127"/>
      <c r="AI240" s="127"/>
    </row>
    <row r="242" spans="1:32" x14ac:dyDescent="0.35">
      <c r="A242" s="1" t="s">
        <v>13</v>
      </c>
      <c r="B242" s="30">
        <v>0.75900000000000001</v>
      </c>
      <c r="C242" s="30">
        <v>0.74870000000000003</v>
      </c>
      <c r="D242" s="30">
        <v>0.73260000000000003</v>
      </c>
      <c r="E242" s="30">
        <v>0.60160000000000002</v>
      </c>
      <c r="F242" s="30">
        <v>0.58979999999999999</v>
      </c>
      <c r="G242" s="30">
        <v>0.57240000000000002</v>
      </c>
      <c r="H242" s="30">
        <f t="shared" ref="H242:H243" si="450">Y242</f>
        <v>0.5595</v>
      </c>
      <c r="I242" s="30">
        <f>AC242</f>
        <v>0.55620000000000003</v>
      </c>
      <c r="J242" s="30"/>
      <c r="N242" s="30">
        <v>0.60099999999999998</v>
      </c>
      <c r="O242" s="30">
        <v>0.60070000000000001</v>
      </c>
      <c r="P242" s="30">
        <v>0.59471511624086415</v>
      </c>
      <c r="Q242" s="30">
        <f>F242</f>
        <v>0.58979999999999999</v>
      </c>
      <c r="R242" s="30">
        <v>0.58699999999999997</v>
      </c>
      <c r="S242" s="30">
        <v>0.57999999999999996</v>
      </c>
      <c r="T242" s="30">
        <v>0.57582900149433247</v>
      </c>
      <c r="U242" s="30">
        <f>G242</f>
        <v>0.57240000000000002</v>
      </c>
      <c r="V242" s="30">
        <v>0.56640000000000001</v>
      </c>
      <c r="W242" s="30">
        <v>0.56197343965076951</v>
      </c>
      <c r="X242" s="30">
        <v>0.56020000000000003</v>
      </c>
      <c r="Y242" s="30">
        <v>0.5595</v>
      </c>
      <c r="Z242" s="30">
        <v>0.55840000000000001</v>
      </c>
      <c r="AA242" s="30">
        <v>0.55679999999999996</v>
      </c>
      <c r="AB242" s="30">
        <v>0.55579999999999996</v>
      </c>
      <c r="AC242" s="30">
        <v>0.55620000000000003</v>
      </c>
    </row>
    <row r="243" spans="1:32" x14ac:dyDescent="0.35">
      <c r="A243" s="1" t="s">
        <v>14</v>
      </c>
      <c r="B243" s="30">
        <v>0.64900000000000002</v>
      </c>
      <c r="C243" s="30">
        <v>0.63070000000000004</v>
      </c>
      <c r="D243" s="30">
        <v>0.57640000000000002</v>
      </c>
      <c r="E243" s="30">
        <v>0.49430000000000002</v>
      </c>
      <c r="F243" s="30">
        <v>0.47549999999999998</v>
      </c>
      <c r="G243" s="30">
        <v>0.46949999999999997</v>
      </c>
      <c r="H243" s="30">
        <f t="shared" si="450"/>
        <v>0.4572</v>
      </c>
      <c r="I243" s="30">
        <f>AC243</f>
        <v>0.46920000000000001</v>
      </c>
      <c r="J243" s="30"/>
      <c r="N243" s="30">
        <v>0.49380000000000002</v>
      </c>
      <c r="O243" s="30">
        <v>0.48780000000000001</v>
      </c>
      <c r="P243" s="30">
        <v>0.48519486053529803</v>
      </c>
      <c r="Q243" s="30">
        <f>F243</f>
        <v>0.47549999999999998</v>
      </c>
      <c r="R243" s="30">
        <v>0.4743</v>
      </c>
      <c r="S243" s="30">
        <v>0.47</v>
      </c>
      <c r="T243" s="30">
        <v>0.47084713487151864</v>
      </c>
      <c r="U243" s="30">
        <f>G243</f>
        <v>0.46949999999999997</v>
      </c>
      <c r="V243" s="30">
        <v>0.46834999999999999</v>
      </c>
      <c r="W243" s="30">
        <v>0.46516442882528586</v>
      </c>
      <c r="X243" s="30">
        <v>0.46250000000000002</v>
      </c>
      <c r="Y243" s="30">
        <v>0.4572</v>
      </c>
      <c r="Z243" s="30">
        <v>0.46050000000000002</v>
      </c>
      <c r="AA243" s="30">
        <v>0.46400000000000002</v>
      </c>
      <c r="AB243" s="30">
        <v>0.46610000000000001</v>
      </c>
      <c r="AC243" s="30">
        <v>0.46920000000000001</v>
      </c>
    </row>
    <row r="245" spans="1:32" s="5" customFormat="1" x14ac:dyDescent="0.35">
      <c r="A245" s="5" t="s">
        <v>119</v>
      </c>
      <c r="B245" s="22" t="str">
        <f t="shared" ref="B245:I245" si="451">B$1</f>
        <v>FY17</v>
      </c>
      <c r="C245" s="22" t="str">
        <f t="shared" si="451"/>
        <v>FY18</v>
      </c>
      <c r="D245" s="22" t="str">
        <f t="shared" si="451"/>
        <v>FY19</v>
      </c>
      <c r="E245" s="22" t="str">
        <f t="shared" si="451"/>
        <v>FY20</v>
      </c>
      <c r="F245" s="22" t="str">
        <f t="shared" si="451"/>
        <v>FY21</v>
      </c>
      <c r="G245" s="22" t="str">
        <f t="shared" si="451"/>
        <v>FY22</v>
      </c>
      <c r="H245" s="22" t="str">
        <f t="shared" si="451"/>
        <v>FY23</v>
      </c>
      <c r="I245" s="22" t="str">
        <f t="shared" si="451"/>
        <v>FY24</v>
      </c>
      <c r="J245" s="22"/>
      <c r="N245" s="6" t="s">
        <v>38</v>
      </c>
      <c r="O245" s="6" t="s">
        <v>39</v>
      </c>
      <c r="P245" s="80" t="s">
        <v>40</v>
      </c>
      <c r="Q245" s="6" t="s">
        <v>74</v>
      </c>
      <c r="R245" s="6" t="s">
        <v>186</v>
      </c>
      <c r="S245" s="80" t="s">
        <v>191</v>
      </c>
      <c r="T245" s="80" t="s">
        <v>204</v>
      </c>
      <c r="U245" s="80" t="s">
        <v>212</v>
      </c>
      <c r="V245" s="80" t="s">
        <v>223</v>
      </c>
      <c r="W245" s="80" t="s">
        <v>226</v>
      </c>
      <c r="X245" s="80" t="str">
        <f t="shared" ref="X245:AC245" si="452">X$1</f>
        <v>Q3FY23</v>
      </c>
      <c r="Y245" s="80" t="str">
        <f t="shared" si="452"/>
        <v>Q4FY23</v>
      </c>
      <c r="Z245" s="80" t="str">
        <f t="shared" si="452"/>
        <v>Q1FY24</v>
      </c>
      <c r="AA245" s="80" t="str">
        <f t="shared" si="452"/>
        <v>Q2FY24</v>
      </c>
      <c r="AB245" s="80" t="str">
        <f t="shared" si="452"/>
        <v>Q3FY24</v>
      </c>
      <c r="AC245" s="80" t="str">
        <f t="shared" si="452"/>
        <v>Q4FY24</v>
      </c>
      <c r="AD245" s="6"/>
      <c r="AE245" s="6"/>
      <c r="AF245" s="6"/>
    </row>
    <row r="246" spans="1:32" x14ac:dyDescent="0.35">
      <c r="A246" s="1" t="s">
        <v>116</v>
      </c>
      <c r="B246" s="26">
        <v>36</v>
      </c>
      <c r="C246" s="26">
        <v>42</v>
      </c>
      <c r="D246" s="26">
        <v>60</v>
      </c>
      <c r="E246" s="26">
        <v>68</v>
      </c>
      <c r="F246" s="26">
        <v>72</v>
      </c>
      <c r="G246" s="26">
        <v>80</v>
      </c>
      <c r="H246" s="26">
        <f t="shared" ref="H246:H247" si="453">Y246</f>
        <v>111</v>
      </c>
      <c r="I246" s="26">
        <f>AC246</f>
        <v>133</v>
      </c>
      <c r="J246" s="26"/>
      <c r="N246" s="26">
        <v>68</v>
      </c>
      <c r="O246" s="26">
        <v>70</v>
      </c>
      <c r="P246" s="26">
        <v>72</v>
      </c>
      <c r="Q246" s="26">
        <f>F246</f>
        <v>72</v>
      </c>
      <c r="R246" s="26">
        <v>72</v>
      </c>
      <c r="S246" s="26">
        <v>72</v>
      </c>
      <c r="T246" s="26">
        <v>76</v>
      </c>
      <c r="U246" s="26">
        <v>80</v>
      </c>
      <c r="V246" s="26">
        <v>93</v>
      </c>
      <c r="W246" s="26">
        <v>101</v>
      </c>
      <c r="X246" s="26">
        <v>102</v>
      </c>
      <c r="Y246" s="26">
        <v>111</v>
      </c>
      <c r="Z246" s="26">
        <v>113</v>
      </c>
      <c r="AA246" s="26">
        <v>120</v>
      </c>
      <c r="AB246" s="26">
        <v>123</v>
      </c>
      <c r="AC246" s="26">
        <v>133</v>
      </c>
    </row>
    <row r="247" spans="1:32" x14ac:dyDescent="0.35">
      <c r="A247" s="1" t="s">
        <v>117</v>
      </c>
      <c r="B247" s="26">
        <v>200</v>
      </c>
      <c r="C247" s="26">
        <v>382</v>
      </c>
      <c r="D247" s="26">
        <v>675</v>
      </c>
      <c r="E247" s="26">
        <v>696</v>
      </c>
      <c r="F247" s="26">
        <v>687</v>
      </c>
      <c r="G247" s="26">
        <v>851</v>
      </c>
      <c r="H247" s="26">
        <f t="shared" si="453"/>
        <v>993</v>
      </c>
      <c r="I247" s="26">
        <f>AC247</f>
        <v>1249</v>
      </c>
      <c r="J247" s="26"/>
      <c r="N247" s="26">
        <v>709</v>
      </c>
      <c r="O247" s="26">
        <v>675</v>
      </c>
      <c r="P247" s="26">
        <v>692</v>
      </c>
      <c r="Q247" s="26">
        <f>F247</f>
        <v>687</v>
      </c>
      <c r="R247" s="26">
        <v>709</v>
      </c>
      <c r="S247" s="26">
        <v>806</v>
      </c>
      <c r="T247" s="26">
        <v>830</v>
      </c>
      <c r="U247" s="26">
        <v>851</v>
      </c>
      <c r="V247" s="26">
        <v>905</v>
      </c>
      <c r="W247" s="26">
        <v>951</v>
      </c>
      <c r="X247" s="26">
        <v>977</v>
      </c>
      <c r="Y247" s="26">
        <v>993</v>
      </c>
      <c r="Z247" s="26">
        <v>1105</v>
      </c>
      <c r="AA247" s="26">
        <v>1242</v>
      </c>
      <c r="AB247" s="26">
        <v>1236</v>
      </c>
      <c r="AC247" s="26">
        <v>1249</v>
      </c>
    </row>
    <row r="248" spans="1:32" x14ac:dyDescent="0.35">
      <c r="A248" s="1" t="s">
        <v>2</v>
      </c>
      <c r="B248" s="3">
        <f t="shared" ref="B248:G248" si="454">B247/B246</f>
        <v>5.5555555555555554</v>
      </c>
      <c r="C248" s="3">
        <f t="shared" si="454"/>
        <v>9.0952380952380949</v>
      </c>
      <c r="D248" s="3">
        <f t="shared" si="454"/>
        <v>11.25</v>
      </c>
      <c r="E248" s="3">
        <f t="shared" si="454"/>
        <v>10.235294117647058</v>
      </c>
      <c r="F248" s="3">
        <f t="shared" si="454"/>
        <v>9.5416666666666661</v>
      </c>
      <c r="G248" s="3">
        <f t="shared" si="454"/>
        <v>10.637499999999999</v>
      </c>
      <c r="H248" s="3">
        <f t="shared" ref="H248:I248" si="455">H247/H246</f>
        <v>8.9459459459459456</v>
      </c>
      <c r="I248" s="3">
        <f t="shared" si="455"/>
        <v>9.3909774436090228</v>
      </c>
      <c r="N248" s="3">
        <f t="shared" ref="N248:U248" si="456">N247/N246</f>
        <v>10.426470588235293</v>
      </c>
      <c r="O248" s="3">
        <f t="shared" si="456"/>
        <v>9.6428571428571423</v>
      </c>
      <c r="P248" s="3">
        <f t="shared" si="456"/>
        <v>9.6111111111111107</v>
      </c>
      <c r="Q248" s="3">
        <f t="shared" si="456"/>
        <v>9.5416666666666661</v>
      </c>
      <c r="R248" s="3">
        <f t="shared" si="456"/>
        <v>9.8472222222222214</v>
      </c>
      <c r="S248" s="3">
        <f t="shared" si="456"/>
        <v>11.194444444444445</v>
      </c>
      <c r="T248" s="3">
        <f t="shared" si="456"/>
        <v>10.921052631578947</v>
      </c>
      <c r="U248" s="3">
        <f t="shared" si="456"/>
        <v>10.637499999999999</v>
      </c>
      <c r="V248" s="3">
        <f t="shared" ref="V248" si="457">V247/V246</f>
        <v>9.7311827956989241</v>
      </c>
      <c r="W248" s="3">
        <f t="shared" ref="W248:AB248" si="458">W247/W246</f>
        <v>9.4158415841584162</v>
      </c>
      <c r="X248" s="3">
        <f t="shared" si="458"/>
        <v>9.5784313725490193</v>
      </c>
      <c r="Y248" s="3">
        <f t="shared" si="458"/>
        <v>8.9459459459459456</v>
      </c>
      <c r="Z248" s="3">
        <f t="shared" si="458"/>
        <v>9.7787610619469021</v>
      </c>
      <c r="AA248" s="3">
        <f t="shared" si="458"/>
        <v>10.35</v>
      </c>
      <c r="AB248" s="3">
        <f t="shared" si="458"/>
        <v>10.048780487804878</v>
      </c>
      <c r="AC248" s="3">
        <f>AC247/AC246</f>
        <v>9.3909774436090228</v>
      </c>
    </row>
    <row r="249" spans="1:32" x14ac:dyDescent="0.35">
      <c r="A249" s="1" t="s">
        <v>125</v>
      </c>
      <c r="B249" s="3">
        <v>287.23</v>
      </c>
      <c r="C249" s="3">
        <f t="shared" ref="C249:I249" si="459">C3/(AVERAGE(B246:C246))</f>
        <v>347.67487179487176</v>
      </c>
      <c r="D249" s="3">
        <f t="shared" si="459"/>
        <v>479.13215686274515</v>
      </c>
      <c r="E249" s="3">
        <f t="shared" si="459"/>
        <v>565.36874999999998</v>
      </c>
      <c r="F249" s="3">
        <f t="shared" si="459"/>
        <v>591.58171428571427</v>
      </c>
      <c r="G249" s="3">
        <f t="shared" si="459"/>
        <v>707.93881578947367</v>
      </c>
      <c r="H249" s="3">
        <f t="shared" si="459"/>
        <v>753.71392670157059</v>
      </c>
      <c r="I249" s="3">
        <f t="shared" si="459"/>
        <v>794.90434426229513</v>
      </c>
      <c r="N249" s="3">
        <f>N3/(AVERAGE(E246,N246))</f>
        <v>532.72249999999997</v>
      </c>
      <c r="O249" s="3">
        <f t="shared" ref="O249:AC249" si="460">O3/(AVERAGE(N246:O246))</f>
        <v>540.58144927536239</v>
      </c>
      <c r="P249" s="3">
        <f t="shared" si="460"/>
        <v>555.02064950070417</v>
      </c>
      <c r="Q249" s="3">
        <f t="shared" si="460"/>
        <v>575.14888888888891</v>
      </c>
      <c r="R249" s="3">
        <f t="shared" si="460"/>
        <v>596.42611111111114</v>
      </c>
      <c r="S249" s="3">
        <f t="shared" si="460"/>
        <v>641.25388888888892</v>
      </c>
      <c r="T249" s="3">
        <f t="shared" si="460"/>
        <v>674.87135135135145</v>
      </c>
      <c r="U249" s="3">
        <f t="shared" si="460"/>
        <v>689.7865384615385</v>
      </c>
      <c r="V249" s="3">
        <f t="shared" si="460"/>
        <v>674.20612716763003</v>
      </c>
      <c r="W249" s="3">
        <f t="shared" si="460"/>
        <v>646.95226804123718</v>
      </c>
      <c r="X249" s="3">
        <f t="shared" si="460"/>
        <v>665.14068965517242</v>
      </c>
      <c r="Y249" s="3">
        <f t="shared" si="460"/>
        <v>675.86553990610321</v>
      </c>
      <c r="Z249" s="3">
        <f t="shared" si="460"/>
        <v>694.27607142857141</v>
      </c>
      <c r="AA249" s="3">
        <f t="shared" si="460"/>
        <v>718.06394849785408</v>
      </c>
      <c r="AB249" s="3">
        <f t="shared" si="460"/>
        <v>741.87193415637864</v>
      </c>
      <c r="AC249" s="3">
        <f t="shared" si="460"/>
        <v>757.64320312500001</v>
      </c>
    </row>
    <row r="250" spans="1:32" x14ac:dyDescent="0.35">
      <c r="A250" s="1" t="s">
        <v>214</v>
      </c>
      <c r="B250" s="3">
        <v>143.85</v>
      </c>
      <c r="C250" s="3">
        <f t="shared" ref="C250:I250" si="461">C15/(AVERAGE(B246:C246))</f>
        <v>191.16128205128206</v>
      </c>
      <c r="D250" s="3">
        <f t="shared" si="461"/>
        <v>308.3962745098039</v>
      </c>
      <c r="E250" s="3">
        <f t="shared" si="461"/>
        <v>252.85749999999999</v>
      </c>
      <c r="F250" s="3">
        <f t="shared" si="461"/>
        <v>156.65899999999999</v>
      </c>
      <c r="G250" s="3">
        <f t="shared" si="461"/>
        <v>267.17498509210526</v>
      </c>
      <c r="H250" s="3">
        <f t="shared" si="461"/>
        <v>315.48816753926707</v>
      </c>
      <c r="I250" s="3">
        <f t="shared" si="461"/>
        <v>324.86860655737706</v>
      </c>
      <c r="N250" s="3">
        <f>N15/(AVERAGE(E246,N246))*4</f>
        <v>31.062941176470591</v>
      </c>
      <c r="O250" s="3">
        <f t="shared" ref="O250:AC250" si="462">O15/(AVERAGE(N246:O246))*4</f>
        <v>140.95130434782607</v>
      </c>
      <c r="P250" s="3">
        <f t="shared" si="462"/>
        <v>196.52218422535213</v>
      </c>
      <c r="Q250" s="3">
        <f t="shared" si="462"/>
        <v>251.02166666666668</v>
      </c>
      <c r="R250" s="3">
        <f t="shared" si="462"/>
        <v>169.23666666666668</v>
      </c>
      <c r="S250" s="3">
        <f t="shared" si="462"/>
        <v>286.20333333333332</v>
      </c>
      <c r="T250" s="3">
        <f t="shared" si="462"/>
        <v>307.90588470270274</v>
      </c>
      <c r="U250" s="3">
        <f t="shared" si="462"/>
        <v>328.77538461538461</v>
      </c>
      <c r="V250" s="3">
        <f t="shared" si="462"/>
        <v>305.7521387283237</v>
      </c>
      <c r="W250" s="3">
        <f t="shared" si="462"/>
        <v>289.5501030927835</v>
      </c>
      <c r="X250" s="3">
        <f t="shared" si="462"/>
        <v>307.56334975369458</v>
      </c>
      <c r="Y250" s="3">
        <f t="shared" si="462"/>
        <v>326.43079812206571</v>
      </c>
      <c r="Z250" s="3">
        <f t="shared" si="462"/>
        <v>319.69678571428574</v>
      </c>
      <c r="AA250" s="3">
        <f t="shared" si="462"/>
        <v>329.32154506437769</v>
      </c>
      <c r="AB250" s="3">
        <f t="shared" si="462"/>
        <v>331.57695473251027</v>
      </c>
      <c r="AC250" s="3">
        <f t="shared" si="462"/>
        <v>344.35374999999999</v>
      </c>
    </row>
    <row r="251" spans="1:32" x14ac:dyDescent="0.35">
      <c r="A251" s="1" t="s">
        <v>118</v>
      </c>
      <c r="B251" s="3">
        <v>48.98</v>
      </c>
      <c r="C251" s="3">
        <f t="shared" ref="C251:I251" si="463">C3/(AVERAGE(B247:C247))</f>
        <v>46.595601374570442</v>
      </c>
      <c r="D251" s="3">
        <f t="shared" si="463"/>
        <v>46.23602649006623</v>
      </c>
      <c r="E251" s="3">
        <f t="shared" si="463"/>
        <v>52.78424507658643</v>
      </c>
      <c r="F251" s="3">
        <f t="shared" si="463"/>
        <v>59.88535068691251</v>
      </c>
      <c r="G251" s="3">
        <f t="shared" si="463"/>
        <v>69.965344603381013</v>
      </c>
      <c r="H251" s="3">
        <f t="shared" si="463"/>
        <v>78.0690672451193</v>
      </c>
      <c r="I251" s="3">
        <f t="shared" si="463"/>
        <v>86.510553077609273</v>
      </c>
      <c r="N251" s="3">
        <f>N3/(AVERAGE(E247,N247))</f>
        <v>51.566021352313165</v>
      </c>
      <c r="O251" s="3">
        <f t="shared" ref="O251:AC251" si="464">O3/(AVERAGE(N247:O247))</f>
        <v>53.901907514450869</v>
      </c>
      <c r="P251" s="3">
        <f t="shared" si="464"/>
        <v>57.653937256108257</v>
      </c>
      <c r="Q251" s="3">
        <f t="shared" si="464"/>
        <v>60.059057287889779</v>
      </c>
      <c r="R251" s="3">
        <f t="shared" si="464"/>
        <v>61.522464183381089</v>
      </c>
      <c r="S251" s="3">
        <f t="shared" si="464"/>
        <v>60.950864686468648</v>
      </c>
      <c r="T251" s="3">
        <f t="shared" si="464"/>
        <v>61.051931540342302</v>
      </c>
      <c r="U251" s="3">
        <f t="shared" si="464"/>
        <v>64.013503866745978</v>
      </c>
      <c r="V251" s="3">
        <f t="shared" si="464"/>
        <v>66.422357630979505</v>
      </c>
      <c r="W251" s="3">
        <f t="shared" si="464"/>
        <v>67.623243534482768</v>
      </c>
      <c r="X251" s="3">
        <f t="shared" si="464"/>
        <v>70.032966804979253</v>
      </c>
      <c r="Y251" s="3">
        <f t="shared" si="464"/>
        <v>73.075817258883248</v>
      </c>
      <c r="Z251" s="3">
        <f t="shared" si="464"/>
        <v>74.126711153479505</v>
      </c>
      <c r="AA251" s="3">
        <f t="shared" si="464"/>
        <v>71.286280357903706</v>
      </c>
      <c r="AB251" s="3">
        <f t="shared" si="464"/>
        <v>72.750153349475383</v>
      </c>
      <c r="AC251" s="3">
        <f t="shared" si="464"/>
        <v>78.050969818913487</v>
      </c>
    </row>
    <row r="252" spans="1:32" x14ac:dyDescent="0.35">
      <c r="A252" s="1" t="s">
        <v>215</v>
      </c>
      <c r="B252" s="3">
        <v>24.53</v>
      </c>
      <c r="C252" s="3">
        <f t="shared" ref="C252:I252" si="465">C15/(AVERAGE(B247:C247))</f>
        <v>25.619553264604811</v>
      </c>
      <c r="D252" s="3">
        <f t="shared" si="465"/>
        <v>29.760094607379372</v>
      </c>
      <c r="E252" s="3">
        <f t="shared" si="465"/>
        <v>23.607410649161196</v>
      </c>
      <c r="F252" s="3">
        <f t="shared" si="465"/>
        <v>15.858467100506145</v>
      </c>
      <c r="G252" s="3">
        <f t="shared" si="465"/>
        <v>26.40480997009103</v>
      </c>
      <c r="H252" s="3">
        <f t="shared" si="465"/>
        <v>32.6780043383948</v>
      </c>
      <c r="I252" s="3">
        <f t="shared" si="465"/>
        <v>35.35590544157003</v>
      </c>
      <c r="N252" s="3">
        <f>N15/(AVERAGE(E247,N247))*4</f>
        <v>3.0068042704626339</v>
      </c>
      <c r="O252" s="3">
        <f t="shared" ref="O252:AC252" si="466">O15/(AVERAGE(N247:O247))*4</f>
        <v>14.054393063583815</v>
      </c>
      <c r="P252" s="3">
        <f t="shared" si="466"/>
        <v>20.414155201170448</v>
      </c>
      <c r="Q252" s="3">
        <f t="shared" si="466"/>
        <v>26.212559825960842</v>
      </c>
      <c r="R252" s="3">
        <f t="shared" si="466"/>
        <v>17.45707736389685</v>
      </c>
      <c r="S252" s="3">
        <f t="shared" si="466"/>
        <v>27.203485148514851</v>
      </c>
      <c r="T252" s="3">
        <f t="shared" si="466"/>
        <v>27.85456658679707</v>
      </c>
      <c r="U252" s="3">
        <f t="shared" si="466"/>
        <v>30.510981558596072</v>
      </c>
      <c r="V252" s="3">
        <f t="shared" si="466"/>
        <v>30.122505694760822</v>
      </c>
      <c r="W252" s="3">
        <f t="shared" si="466"/>
        <v>30.265474137931037</v>
      </c>
      <c r="X252" s="3">
        <f t="shared" si="466"/>
        <v>32.383485477178425</v>
      </c>
      <c r="Y252" s="3">
        <f t="shared" si="466"/>
        <v>35.294294416243652</v>
      </c>
      <c r="Z252" s="3">
        <f t="shared" si="466"/>
        <v>34.133498570066735</v>
      </c>
      <c r="AA252" s="3">
        <f t="shared" si="466"/>
        <v>32.693617383894335</v>
      </c>
      <c r="AB252" s="3">
        <f t="shared" si="466"/>
        <v>32.515415657788537</v>
      </c>
      <c r="AC252" s="3">
        <f t="shared" si="466"/>
        <v>35.474672032193155</v>
      </c>
    </row>
    <row r="254" spans="1:32" s="5" customFormat="1" x14ac:dyDescent="0.35">
      <c r="A254" s="5" t="s">
        <v>121</v>
      </c>
      <c r="B254" s="22" t="str">
        <f t="shared" ref="B254:I254" si="467">B$1</f>
        <v>FY17</v>
      </c>
      <c r="C254" s="22" t="str">
        <f t="shared" si="467"/>
        <v>FY18</v>
      </c>
      <c r="D254" s="22" t="str">
        <f t="shared" si="467"/>
        <v>FY19</v>
      </c>
      <c r="E254" s="22" t="str">
        <f t="shared" si="467"/>
        <v>FY20</v>
      </c>
      <c r="F254" s="22" t="str">
        <f t="shared" si="467"/>
        <v>FY21</v>
      </c>
      <c r="G254" s="22" t="str">
        <f t="shared" si="467"/>
        <v>FY22</v>
      </c>
      <c r="H254" s="22" t="str">
        <f t="shared" si="467"/>
        <v>FY23</v>
      </c>
      <c r="I254" s="22" t="str">
        <f t="shared" si="467"/>
        <v>FY24</v>
      </c>
      <c r="J254" s="22"/>
      <c r="N254" s="6"/>
      <c r="O254" s="6"/>
      <c r="P254" s="80"/>
      <c r="Q254" s="6"/>
      <c r="R254" s="6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6"/>
      <c r="AE254" s="6"/>
      <c r="AF254" s="6"/>
    </row>
    <row r="255" spans="1:32" x14ac:dyDescent="0.35">
      <c r="A255" s="1" t="s">
        <v>66</v>
      </c>
      <c r="D255" s="26">
        <v>1501</v>
      </c>
      <c r="E255" s="26">
        <v>1804</v>
      </c>
      <c r="F255" s="26">
        <v>952</v>
      </c>
      <c r="G255" s="26">
        <v>1114</v>
      </c>
      <c r="H255" s="26">
        <v>1363</v>
      </c>
      <c r="I255" s="26">
        <v>1326</v>
      </c>
      <c r="J255" s="26"/>
    </row>
    <row r="256" spans="1:32" x14ac:dyDescent="0.35">
      <c r="A256" s="1" t="s">
        <v>67</v>
      </c>
      <c r="D256" s="26">
        <v>5948</v>
      </c>
      <c r="E256" s="26">
        <v>3601</v>
      </c>
      <c r="F256" s="26">
        <v>1866</v>
      </c>
      <c r="G256" s="26">
        <v>2452</v>
      </c>
      <c r="H256" s="26">
        <v>2545</v>
      </c>
      <c r="I256" s="26">
        <v>3057</v>
      </c>
      <c r="J256" s="26"/>
    </row>
    <row r="257" spans="1:32" x14ac:dyDescent="0.35">
      <c r="A257" s="1" t="s">
        <v>68</v>
      </c>
      <c r="D257" s="26">
        <v>9555</v>
      </c>
      <c r="E257" s="26">
        <v>10745</v>
      </c>
      <c r="F257" s="26">
        <v>7958</v>
      </c>
      <c r="G257" s="26">
        <v>15125</v>
      </c>
      <c r="H257" s="26">
        <v>22579</v>
      </c>
      <c r="I257" s="26">
        <v>28598</v>
      </c>
      <c r="J257" s="26"/>
    </row>
    <row r="258" spans="1:32" x14ac:dyDescent="0.35">
      <c r="A258" s="1" t="s">
        <v>69</v>
      </c>
      <c r="D258" s="26">
        <v>261</v>
      </c>
      <c r="E258" s="26">
        <v>840</v>
      </c>
      <c r="F258" s="26">
        <v>784</v>
      </c>
      <c r="G258" s="26">
        <v>963</v>
      </c>
      <c r="H258" s="26">
        <v>955</v>
      </c>
      <c r="I258" s="26">
        <v>1052</v>
      </c>
      <c r="J258" s="26"/>
    </row>
    <row r="259" spans="1:32" x14ac:dyDescent="0.35">
      <c r="A259" s="1" t="s">
        <v>70</v>
      </c>
      <c r="D259" s="26">
        <v>152</v>
      </c>
      <c r="E259" s="26">
        <v>449</v>
      </c>
      <c r="F259" s="26">
        <v>287</v>
      </c>
      <c r="G259" s="26">
        <v>338</v>
      </c>
      <c r="H259" s="26">
        <v>465</v>
      </c>
      <c r="I259" s="26">
        <v>349</v>
      </c>
      <c r="J259" s="26"/>
    </row>
    <row r="260" spans="1:32" x14ac:dyDescent="0.35">
      <c r="A260" s="1" t="s">
        <v>120</v>
      </c>
      <c r="D260" s="26">
        <v>1272</v>
      </c>
      <c r="E260" s="26">
        <v>1491</v>
      </c>
      <c r="F260" s="26">
        <v>513</v>
      </c>
      <c r="G260" s="26">
        <v>729</v>
      </c>
      <c r="H260" s="26">
        <v>1161</v>
      </c>
      <c r="I260" s="26">
        <v>1461</v>
      </c>
      <c r="J260" s="26"/>
    </row>
    <row r="261" spans="1:32" x14ac:dyDescent="0.35">
      <c r="A261" s="1" t="s">
        <v>71</v>
      </c>
      <c r="D261" s="26">
        <v>318</v>
      </c>
      <c r="E261" s="26">
        <v>405</v>
      </c>
      <c r="F261" s="26">
        <v>320</v>
      </c>
      <c r="G261" s="26">
        <v>394</v>
      </c>
      <c r="H261" s="26">
        <v>631</v>
      </c>
      <c r="I261" s="26">
        <v>929</v>
      </c>
      <c r="J261" s="26"/>
    </row>
    <row r="262" spans="1:32" x14ac:dyDescent="0.35">
      <c r="A262" s="1" t="s">
        <v>72</v>
      </c>
      <c r="D262" s="26">
        <v>0</v>
      </c>
      <c r="E262" s="26">
        <v>146</v>
      </c>
      <c r="F262" s="26">
        <v>118</v>
      </c>
      <c r="G262" s="26">
        <v>290</v>
      </c>
      <c r="H262" s="26">
        <v>487</v>
      </c>
      <c r="I262" s="26">
        <v>606</v>
      </c>
      <c r="J262" s="26"/>
    </row>
    <row r="263" spans="1:32" s="2" customFormat="1" x14ac:dyDescent="0.35">
      <c r="A263" s="2" t="s">
        <v>35</v>
      </c>
      <c r="B263" s="4"/>
      <c r="C263" s="4"/>
      <c r="D263" s="4">
        <f t="shared" ref="D263:H263" si="468">SUM(D255:D262)</f>
        <v>19007</v>
      </c>
      <c r="E263" s="4">
        <f t="shared" si="468"/>
        <v>19481</v>
      </c>
      <c r="F263" s="4">
        <f t="shared" si="468"/>
        <v>12798</v>
      </c>
      <c r="G263" s="4">
        <f t="shared" si="468"/>
        <v>21405</v>
      </c>
      <c r="H263" s="4">
        <f t="shared" si="468"/>
        <v>30186</v>
      </c>
      <c r="I263" s="4">
        <f>SUM(I255:I262)</f>
        <v>37378</v>
      </c>
      <c r="J263" s="4"/>
      <c r="N263" s="4"/>
      <c r="O263" s="4"/>
      <c r="P263" s="34"/>
      <c r="Q263" s="4"/>
      <c r="R263" s="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70"/>
      <c r="AE263" s="70"/>
      <c r="AF263" s="70"/>
    </row>
    <row r="265" spans="1:32" s="5" customFormat="1" x14ac:dyDescent="0.35">
      <c r="A265" s="5" t="s">
        <v>3</v>
      </c>
      <c r="B265" s="22"/>
      <c r="C265" s="22"/>
      <c r="D265" s="22"/>
      <c r="E265" s="22"/>
      <c r="F265" s="22"/>
      <c r="G265" s="22"/>
      <c r="H265" s="22"/>
      <c r="I265" s="22"/>
      <c r="J265" s="22"/>
      <c r="N265" s="6"/>
      <c r="O265" s="6"/>
      <c r="P265" s="80"/>
      <c r="Q265" s="6"/>
      <c r="R265" s="6"/>
      <c r="S265" s="80"/>
      <c r="T265" s="80"/>
      <c r="U265" s="80"/>
      <c r="V265" s="80" t="str">
        <f t="shared" ref="V265:AC265" si="469">V$1</f>
        <v>Q1FY23</v>
      </c>
      <c r="W265" s="80" t="str">
        <f t="shared" si="469"/>
        <v>Q2FY23</v>
      </c>
      <c r="X265" s="80" t="str">
        <f t="shared" si="469"/>
        <v>Q3FY23</v>
      </c>
      <c r="Y265" s="80" t="str">
        <f t="shared" si="469"/>
        <v>Q4FY23</v>
      </c>
      <c r="Z265" s="80" t="str">
        <f t="shared" si="469"/>
        <v>Q1FY24</v>
      </c>
      <c r="AA265" s="80" t="str">
        <f t="shared" si="469"/>
        <v>Q2FY24</v>
      </c>
      <c r="AB265" s="80" t="str">
        <f t="shared" si="469"/>
        <v>Q3FY24</v>
      </c>
      <c r="AC265" s="80" t="str">
        <f t="shared" si="469"/>
        <v>Q4FY24</v>
      </c>
      <c r="AD265" s="6"/>
      <c r="AE265" s="6"/>
      <c r="AF265" s="6"/>
    </row>
    <row r="266" spans="1:32" x14ac:dyDescent="0.35">
      <c r="A266" s="1" t="s">
        <v>20</v>
      </c>
      <c r="E266" s="1"/>
      <c r="G266" s="39"/>
      <c r="H266" s="39"/>
      <c r="I266" s="39"/>
      <c r="U266" s="1" t="s">
        <v>4</v>
      </c>
      <c r="V266" s="3" t="s">
        <v>213</v>
      </c>
      <c r="W266" s="3" t="s">
        <v>213</v>
      </c>
      <c r="X266" s="3" t="s">
        <v>213</v>
      </c>
      <c r="Y266" s="3" t="s">
        <v>213</v>
      </c>
      <c r="Z266" s="3" t="s">
        <v>213</v>
      </c>
      <c r="AA266" s="3" t="s">
        <v>213</v>
      </c>
      <c r="AB266" s="3" t="s">
        <v>213</v>
      </c>
      <c r="AC266" s="3" t="s">
        <v>213</v>
      </c>
    </row>
    <row r="267" spans="1:32" x14ac:dyDescent="0.35">
      <c r="A267" s="1" t="s">
        <v>21</v>
      </c>
      <c r="E267" s="1"/>
      <c r="U267" s="1" t="s">
        <v>4</v>
      </c>
      <c r="V267" s="3" t="s">
        <v>213</v>
      </c>
      <c r="W267" s="3" t="s">
        <v>213</v>
      </c>
      <c r="X267" s="3" t="s">
        <v>213</v>
      </c>
      <c r="Y267" s="3" t="s">
        <v>213</v>
      </c>
      <c r="Z267" s="3" t="s">
        <v>213</v>
      </c>
      <c r="AA267" s="3" t="s">
        <v>213</v>
      </c>
      <c r="AB267" s="3" t="s">
        <v>213</v>
      </c>
      <c r="AC267" s="3" t="s">
        <v>213</v>
      </c>
    </row>
    <row r="268" spans="1:32" s="3" customFormat="1" x14ac:dyDescent="0.35">
      <c r="A268" s="1" t="s">
        <v>20</v>
      </c>
      <c r="E268" s="1"/>
      <c r="K268" s="1"/>
      <c r="L268" s="1"/>
      <c r="P268" s="39"/>
      <c r="S268" s="39"/>
      <c r="T268" s="39"/>
      <c r="U268" s="1" t="s">
        <v>22</v>
      </c>
      <c r="V268" s="108" t="s">
        <v>24</v>
      </c>
      <c r="W268" s="108" t="s">
        <v>24</v>
      </c>
      <c r="X268" s="108" t="s">
        <v>24</v>
      </c>
      <c r="Y268" s="108" t="s">
        <v>24</v>
      </c>
      <c r="Z268" s="108" t="s">
        <v>24</v>
      </c>
      <c r="AA268" s="108" t="s">
        <v>24</v>
      </c>
      <c r="AB268" s="108" t="s">
        <v>24</v>
      </c>
      <c r="AC268" s="108" t="s">
        <v>24</v>
      </c>
      <c r="AD268" s="73"/>
      <c r="AE268" s="73"/>
      <c r="AF268" s="73"/>
    </row>
    <row r="269" spans="1:32" s="3" customFormat="1" x14ac:dyDescent="0.35">
      <c r="A269" s="1" t="s">
        <v>23</v>
      </c>
      <c r="E269" s="1"/>
      <c r="K269" s="1"/>
      <c r="L269" s="1"/>
      <c r="P269" s="39"/>
      <c r="S269" s="39"/>
      <c r="T269" s="39"/>
      <c r="U269" s="1" t="s">
        <v>22</v>
      </c>
      <c r="V269" s="108" t="s">
        <v>24</v>
      </c>
      <c r="W269" s="108" t="s">
        <v>24</v>
      </c>
      <c r="X269" s="108" t="s">
        <v>24</v>
      </c>
      <c r="Y269" s="108" t="s">
        <v>24</v>
      </c>
      <c r="Z269" s="108" t="s">
        <v>24</v>
      </c>
      <c r="AA269" s="108" t="s">
        <v>24</v>
      </c>
      <c r="AB269" s="108" t="s">
        <v>24</v>
      </c>
      <c r="AC269" s="108" t="s">
        <v>24</v>
      </c>
      <c r="AD269" s="73"/>
      <c r="AE269" s="73"/>
      <c r="AF269" s="73"/>
    </row>
    <row r="270" spans="1:32" s="3" customFormat="1" x14ac:dyDescent="0.35">
      <c r="A270" s="1" t="s">
        <v>23</v>
      </c>
      <c r="E270" s="1"/>
      <c r="F270" s="108"/>
      <c r="K270" s="1"/>
      <c r="L270" s="1"/>
      <c r="P270" s="39"/>
      <c r="S270" s="39"/>
      <c r="T270" s="39"/>
      <c r="U270" s="1" t="s">
        <v>4</v>
      </c>
      <c r="V270" s="3" t="s">
        <v>213</v>
      </c>
      <c r="W270" s="3" t="s">
        <v>213</v>
      </c>
      <c r="X270" s="3" t="s">
        <v>213</v>
      </c>
      <c r="Y270" s="3" t="s">
        <v>213</v>
      </c>
      <c r="Z270" s="3" t="s">
        <v>213</v>
      </c>
      <c r="AA270" s="3" t="s">
        <v>213</v>
      </c>
      <c r="AB270" s="3" t="s">
        <v>213</v>
      </c>
      <c r="AC270" s="3" t="s">
        <v>250</v>
      </c>
      <c r="AD270" s="73"/>
      <c r="AE270" s="73"/>
      <c r="AF270" s="73"/>
    </row>
    <row r="272" spans="1:32" s="6" customFormat="1" x14ac:dyDescent="0.35">
      <c r="A272" s="59" t="s">
        <v>52</v>
      </c>
      <c r="F272" s="60" t="s">
        <v>51</v>
      </c>
      <c r="G272" s="60"/>
      <c r="H272" s="60"/>
      <c r="I272" s="60"/>
      <c r="J272" s="60"/>
      <c r="K272" s="5"/>
      <c r="L272" s="5"/>
      <c r="N272" s="61"/>
      <c r="O272" s="61"/>
      <c r="P272" s="80"/>
      <c r="Q272" s="61"/>
      <c r="R272" s="61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74"/>
      <c r="AE272" s="74"/>
      <c r="AF272" s="74"/>
    </row>
    <row r="273" spans="1:32" s="3" customFormat="1" x14ac:dyDescent="0.35">
      <c r="A273" s="18" t="s">
        <v>54</v>
      </c>
      <c r="F273" s="40">
        <v>11.7</v>
      </c>
      <c r="G273" s="40"/>
      <c r="H273" s="40"/>
      <c r="I273" s="40"/>
      <c r="J273" s="40"/>
      <c r="K273" s="1"/>
      <c r="L273" s="1"/>
      <c r="P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73"/>
      <c r="AE273" s="73"/>
      <c r="AF273" s="73"/>
    </row>
    <row r="274" spans="1:32" s="3" customFormat="1" x14ac:dyDescent="0.35">
      <c r="A274" s="18" t="s">
        <v>55</v>
      </c>
      <c r="F274" s="40">
        <v>10.8</v>
      </c>
      <c r="G274" s="40"/>
      <c r="H274" s="40"/>
      <c r="I274" s="40"/>
      <c r="J274" s="40"/>
      <c r="K274" s="1"/>
      <c r="L274" s="1"/>
      <c r="P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73"/>
      <c r="AE274" s="73"/>
      <c r="AF274" s="73"/>
    </row>
    <row r="275" spans="1:32" s="3" customFormat="1" x14ac:dyDescent="0.35">
      <c r="A275" s="18" t="s">
        <v>56</v>
      </c>
      <c r="F275" s="40">
        <v>10.199999999999999</v>
      </c>
      <c r="G275" s="40"/>
      <c r="H275" s="40"/>
      <c r="I275" s="40"/>
      <c r="J275" s="40"/>
      <c r="K275" s="1"/>
      <c r="L275" s="1"/>
      <c r="P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73"/>
      <c r="AE275" s="73"/>
      <c r="AF275" s="73"/>
    </row>
    <row r="276" spans="1:32" s="3" customFormat="1" x14ac:dyDescent="0.35">
      <c r="A276" s="18" t="s">
        <v>57</v>
      </c>
      <c r="F276" s="40">
        <v>9.1999999999999993</v>
      </c>
      <c r="G276" s="40"/>
      <c r="H276" s="40"/>
      <c r="I276" s="40"/>
      <c r="J276" s="40"/>
      <c r="K276" s="1"/>
      <c r="L276" s="1"/>
      <c r="P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73"/>
      <c r="AE276" s="73"/>
      <c r="AF276" s="73"/>
    </row>
    <row r="277" spans="1:32" s="3" customFormat="1" x14ac:dyDescent="0.35">
      <c r="A277" s="18" t="s">
        <v>53</v>
      </c>
      <c r="F277" s="40">
        <v>9.5</v>
      </c>
      <c r="G277" s="40"/>
      <c r="H277" s="40"/>
      <c r="I277" s="40"/>
      <c r="J277" s="40"/>
      <c r="K277" s="1"/>
      <c r="L277" s="1"/>
      <c r="P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73"/>
      <c r="AE277" s="73"/>
      <c r="AF277" s="73"/>
    </row>
    <row r="278" spans="1:32" s="3" customFormat="1" x14ac:dyDescent="0.35">
      <c r="A278" s="18" t="s">
        <v>58</v>
      </c>
      <c r="F278" s="40">
        <v>10</v>
      </c>
      <c r="G278" s="40"/>
      <c r="H278" s="40"/>
      <c r="I278" s="40"/>
      <c r="J278" s="40"/>
      <c r="K278" s="1"/>
      <c r="L278" s="1"/>
      <c r="P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73"/>
      <c r="AE278" s="73"/>
      <c r="AF278" s="73"/>
    </row>
    <row r="279" spans="1:32" s="3" customFormat="1" x14ac:dyDescent="0.35">
      <c r="A279" s="18" t="s">
        <v>36</v>
      </c>
      <c r="F279" s="40">
        <v>10.9</v>
      </c>
      <c r="G279" s="40"/>
      <c r="H279" s="40"/>
      <c r="I279" s="40"/>
      <c r="J279" s="40"/>
      <c r="K279" s="1"/>
      <c r="L279" s="1"/>
      <c r="P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73"/>
      <c r="AE279" s="73"/>
      <c r="AF279" s="73"/>
    </row>
    <row r="280" spans="1:32" s="3" customFormat="1" x14ac:dyDescent="0.35">
      <c r="A280" s="18" t="s">
        <v>37</v>
      </c>
      <c r="F280" s="40">
        <v>10.5</v>
      </c>
      <c r="G280" s="40"/>
      <c r="H280" s="40"/>
      <c r="I280" s="40"/>
      <c r="J280" s="40"/>
      <c r="K280" s="1"/>
      <c r="L280" s="1"/>
      <c r="P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73"/>
      <c r="AE280" s="73"/>
      <c r="AF280" s="73"/>
    </row>
    <row r="281" spans="1:32" s="3" customFormat="1" x14ac:dyDescent="0.35">
      <c r="A281" s="18" t="s">
        <v>38</v>
      </c>
      <c r="F281" s="40">
        <v>36.4</v>
      </c>
      <c r="G281" s="40"/>
      <c r="H281" s="40"/>
      <c r="I281" s="40"/>
      <c r="J281" s="40"/>
      <c r="K281" s="1"/>
      <c r="L281" s="1"/>
      <c r="P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73"/>
      <c r="AE281" s="73"/>
      <c r="AF281" s="73"/>
    </row>
    <row r="282" spans="1:32" s="3" customFormat="1" x14ac:dyDescent="0.35">
      <c r="A282" s="18" t="s">
        <v>39</v>
      </c>
      <c r="F282" s="40">
        <v>28.3</v>
      </c>
      <c r="G282" s="40"/>
      <c r="H282" s="40"/>
      <c r="I282" s="40"/>
      <c r="J282" s="40"/>
      <c r="K282" s="1"/>
      <c r="L282" s="1"/>
      <c r="P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73"/>
      <c r="AE282" s="73"/>
      <c r="AF282" s="73"/>
    </row>
    <row r="283" spans="1:32" s="3" customFormat="1" x14ac:dyDescent="0.35">
      <c r="A283" s="18" t="s">
        <v>40</v>
      </c>
      <c r="F283" s="41">
        <v>20.100000000000001</v>
      </c>
      <c r="G283" s="41"/>
      <c r="H283" s="41"/>
      <c r="I283" s="41"/>
      <c r="J283" s="41"/>
      <c r="K283" s="1"/>
      <c r="L283" s="1"/>
      <c r="P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73"/>
      <c r="AE283" s="73"/>
      <c r="AF283" s="73"/>
    </row>
    <row r="284" spans="1:32" s="3" customFormat="1" x14ac:dyDescent="0.35">
      <c r="A284" s="18" t="s">
        <v>74</v>
      </c>
      <c r="F284" s="41">
        <v>17.3</v>
      </c>
      <c r="G284" s="41"/>
      <c r="H284" s="41"/>
      <c r="I284" s="41"/>
      <c r="J284" s="41"/>
      <c r="K284" s="1"/>
      <c r="L284" s="1"/>
      <c r="P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73"/>
      <c r="AE284" s="73"/>
      <c r="AF284" s="73"/>
    </row>
    <row r="285" spans="1:32" s="3" customFormat="1" x14ac:dyDescent="0.35">
      <c r="A285" s="18" t="s">
        <v>186</v>
      </c>
      <c r="F285" s="41">
        <v>18.3</v>
      </c>
      <c r="G285" s="41"/>
      <c r="H285" s="41"/>
      <c r="I285" s="41"/>
      <c r="J285" s="41"/>
      <c r="K285" s="1"/>
      <c r="L285" s="1"/>
      <c r="P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73"/>
      <c r="AE285" s="73"/>
      <c r="AF285" s="73"/>
    </row>
    <row r="286" spans="1:32" x14ac:dyDescent="0.35">
      <c r="A286" s="18" t="s">
        <v>191</v>
      </c>
      <c r="F286" s="41">
        <v>16.5</v>
      </c>
      <c r="G286" s="41"/>
      <c r="H286" s="41"/>
      <c r="I286" s="41"/>
      <c r="J286" s="41"/>
    </row>
    <row r="287" spans="1:32" x14ac:dyDescent="0.35">
      <c r="A287" s="18" t="s">
        <v>204</v>
      </c>
      <c r="F287" s="41">
        <v>15.7</v>
      </c>
      <c r="G287" s="41"/>
      <c r="H287" s="41"/>
      <c r="I287" s="41"/>
    </row>
    <row r="288" spans="1:32" x14ac:dyDescent="0.35">
      <c r="A288" s="18" t="s">
        <v>212</v>
      </c>
      <c r="F288" s="41">
        <v>14.5</v>
      </c>
    </row>
    <row r="289" spans="1:18" x14ac:dyDescent="0.35">
      <c r="A289" s="18" t="s">
        <v>223</v>
      </c>
      <c r="F289" s="41">
        <v>14</v>
      </c>
    </row>
    <row r="290" spans="1:18" x14ac:dyDescent="0.35">
      <c r="A290" s="18" t="s">
        <v>226</v>
      </c>
      <c r="F290" s="41">
        <v>15.61</v>
      </c>
    </row>
    <row r="291" spans="1:18" x14ac:dyDescent="0.35">
      <c r="A291" s="18" t="s">
        <v>227</v>
      </c>
      <c r="F291" s="41">
        <v>14.88</v>
      </c>
    </row>
    <row r="292" spans="1:18" x14ac:dyDescent="0.35">
      <c r="A292" s="18" t="s">
        <v>229</v>
      </c>
      <c r="F292" s="41">
        <v>13.61</v>
      </c>
    </row>
    <row r="293" spans="1:18" x14ac:dyDescent="0.35">
      <c r="A293" s="18" t="s">
        <v>233</v>
      </c>
      <c r="F293" s="41">
        <v>15</v>
      </c>
    </row>
    <row r="294" spans="1:18" x14ac:dyDescent="0.35">
      <c r="A294" s="18" t="s">
        <v>236</v>
      </c>
      <c r="F294" s="41">
        <v>14.23</v>
      </c>
    </row>
    <row r="295" spans="1:18" x14ac:dyDescent="0.35">
      <c r="A295" s="18" t="s">
        <v>237</v>
      </c>
      <c r="F295" s="41">
        <v>15.11</v>
      </c>
    </row>
    <row r="296" spans="1:18" x14ac:dyDescent="0.35">
      <c r="A296" s="18" t="s">
        <v>249</v>
      </c>
      <c r="F296" s="41">
        <v>14.66</v>
      </c>
    </row>
    <row r="298" spans="1:18" x14ac:dyDescent="0.35">
      <c r="A298" s="2" t="s">
        <v>221</v>
      </c>
      <c r="F298" s="7"/>
      <c r="G298" s="7"/>
      <c r="H298" s="7"/>
      <c r="I298" s="7"/>
      <c r="J298" s="7"/>
      <c r="N298" s="39"/>
      <c r="O298" s="39"/>
      <c r="Q298" s="39"/>
      <c r="R298" s="39"/>
    </row>
    <row r="299" spans="1:18" ht="72.5" x14ac:dyDescent="0.35">
      <c r="A299" s="1" t="s">
        <v>219</v>
      </c>
      <c r="B299" s="101"/>
      <c r="C299" s="101"/>
      <c r="D299" s="101"/>
      <c r="E299" s="101"/>
      <c r="F299" s="102" t="s">
        <v>216</v>
      </c>
      <c r="G299" s="102"/>
      <c r="H299" s="102"/>
      <c r="I299" s="102"/>
      <c r="J299" s="7"/>
      <c r="N299" s="39"/>
      <c r="O299" s="39"/>
      <c r="Q299" s="39"/>
      <c r="R299" s="39"/>
    </row>
    <row r="300" spans="1:18" ht="72.5" x14ac:dyDescent="0.35">
      <c r="A300" s="1" t="s">
        <v>195</v>
      </c>
      <c r="B300" s="102" t="s">
        <v>216</v>
      </c>
      <c r="C300" s="102" t="s">
        <v>216</v>
      </c>
      <c r="D300" s="102" t="s">
        <v>216</v>
      </c>
      <c r="E300" s="102" t="s">
        <v>216</v>
      </c>
      <c r="F300" s="103" t="s">
        <v>218</v>
      </c>
      <c r="G300" s="103"/>
      <c r="H300" s="103"/>
      <c r="I300" s="103"/>
      <c r="J300" s="7"/>
      <c r="N300" s="39"/>
      <c r="O300" s="39"/>
      <c r="Q300" s="39"/>
      <c r="R300" s="39"/>
    </row>
    <row r="301" spans="1:18" ht="72.5" x14ac:dyDescent="0.35">
      <c r="A301" s="1" t="s">
        <v>196</v>
      </c>
      <c r="B301" s="104" t="s">
        <v>217</v>
      </c>
      <c r="C301" s="104" t="s">
        <v>217</v>
      </c>
      <c r="D301" s="104" t="s">
        <v>217</v>
      </c>
      <c r="E301" s="104" t="s">
        <v>217</v>
      </c>
      <c r="F301" s="105"/>
      <c r="G301" s="105"/>
      <c r="H301" s="105"/>
      <c r="I301" s="105"/>
      <c r="J301" s="7"/>
      <c r="N301" s="39"/>
      <c r="O301" s="39"/>
      <c r="Q301" s="39"/>
      <c r="R301" s="39"/>
    </row>
    <row r="302" spans="1:18" ht="101.5" x14ac:dyDescent="0.35">
      <c r="A302" s="1" t="s">
        <v>198</v>
      </c>
      <c r="B302" s="101"/>
      <c r="C302" s="101"/>
      <c r="D302" s="101"/>
      <c r="E302" s="101"/>
      <c r="F302" s="106" t="s">
        <v>220</v>
      </c>
      <c r="G302" s="106"/>
      <c r="H302" s="106"/>
      <c r="I302" s="106"/>
      <c r="J302" s="7"/>
      <c r="N302" s="39"/>
      <c r="O302" s="39"/>
      <c r="Q302" s="39"/>
      <c r="R302" s="39"/>
    </row>
    <row r="303" spans="1:18" ht="101.5" x14ac:dyDescent="0.35">
      <c r="A303" s="1" t="s">
        <v>228</v>
      </c>
      <c r="B303" s="106" t="s">
        <v>220</v>
      </c>
      <c r="C303" s="106" t="s">
        <v>220</v>
      </c>
      <c r="D303" s="106" t="s">
        <v>220</v>
      </c>
      <c r="E303" s="106" t="s">
        <v>220</v>
      </c>
      <c r="F303" s="105"/>
      <c r="G303" s="105"/>
      <c r="H303" s="105"/>
      <c r="I303" s="105"/>
      <c r="J303" s="7"/>
      <c r="N303" s="39"/>
      <c r="O303" s="39"/>
      <c r="Q303" s="39"/>
      <c r="R303" s="39"/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neha.shroff@linkintime.co.in</dc:creator>
  <cp:lastModifiedBy>Shrey</cp:lastModifiedBy>
  <cp:lastPrinted>2021-10-26T13:30:36Z</cp:lastPrinted>
  <dcterms:created xsi:type="dcterms:W3CDTF">2016-12-05T07:57:40Z</dcterms:created>
  <dcterms:modified xsi:type="dcterms:W3CDTF">2024-05-08T11:35:17Z</dcterms:modified>
</cp:coreProperties>
</file>